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1 Annual Update\Filed Documents 5-24-21\"/>
    </mc:Choice>
  </mc:AlternateContent>
  <bookViews>
    <workbookView xWindow="15000" yWindow="20" windowWidth="4200" windowHeight="1146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Summary!$C$1:$K$39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/>
  <pivotCaches>
    <pivotCache cacheId="222" r:id="rId5"/>
  </pivotCaches>
</workbook>
</file>

<file path=xl/calcChain.xml><?xml version="1.0" encoding="utf-8"?>
<calcChain xmlns="http://schemas.openxmlformats.org/spreadsheetml/2006/main">
  <c r="F10" i="29" l="1"/>
  <c r="C5" i="29"/>
  <c r="E20" i="29" l="1"/>
  <c r="D20" i="29"/>
  <c r="L3" i="18" l="1"/>
  <c r="H211" i="18"/>
  <c r="H35" i="18" l="1"/>
  <c r="H51" i="18"/>
  <c r="H84" i="18"/>
  <c r="H148" i="18"/>
  <c r="H52" i="18"/>
  <c r="H27" i="18"/>
  <c r="H43" i="18"/>
  <c r="H59" i="18"/>
  <c r="H116" i="18"/>
  <c r="H180" i="18"/>
  <c r="H20" i="18"/>
  <c r="H36" i="18"/>
  <c r="H100" i="18"/>
  <c r="H164" i="18"/>
  <c r="H28" i="18"/>
  <c r="H44" i="18"/>
  <c r="H68" i="18"/>
  <c r="H132" i="18"/>
  <c r="H196" i="18"/>
  <c r="H23" i="18"/>
  <c r="H31" i="18"/>
  <c r="H39" i="18"/>
  <c r="H47" i="18"/>
  <c r="H55" i="18"/>
  <c r="H63" i="18"/>
  <c r="H76" i="18"/>
  <c r="H92" i="18"/>
  <c r="H108" i="18"/>
  <c r="H124" i="18"/>
  <c r="H140" i="18"/>
  <c r="H156" i="18"/>
  <c r="H172" i="18"/>
  <c r="H188" i="18"/>
  <c r="H204" i="18"/>
  <c r="H60" i="18"/>
  <c r="H72" i="18"/>
  <c r="H88" i="18"/>
  <c r="H104" i="18"/>
  <c r="H120" i="18"/>
  <c r="H136" i="18"/>
  <c r="H152" i="18"/>
  <c r="H168" i="18"/>
  <c r="H184" i="18"/>
  <c r="H200" i="18"/>
  <c r="H24" i="18"/>
  <c r="H32" i="18"/>
  <c r="H40" i="18"/>
  <c r="H48" i="18"/>
  <c r="H56" i="18"/>
  <c r="H64" i="18"/>
  <c r="H80" i="18"/>
  <c r="H96" i="18"/>
  <c r="H112" i="18"/>
  <c r="H128" i="18"/>
  <c r="H144" i="18"/>
  <c r="H160" i="18"/>
  <c r="H176" i="18"/>
  <c r="H192" i="18"/>
  <c r="H208" i="18"/>
  <c r="H21" i="18"/>
  <c r="H25" i="18"/>
  <c r="H29" i="18"/>
  <c r="H33" i="18"/>
  <c r="H37" i="18"/>
  <c r="H41" i="18"/>
  <c r="H45" i="18"/>
  <c r="H49" i="18"/>
  <c r="H53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5" i="18"/>
  <c r="H129" i="18"/>
  <c r="H133" i="18"/>
  <c r="H137" i="18"/>
  <c r="H141" i="18"/>
  <c r="H145" i="18"/>
  <c r="H149" i="18"/>
  <c r="H153" i="18"/>
  <c r="H157" i="18"/>
  <c r="H161" i="18"/>
  <c r="H165" i="18"/>
  <c r="H169" i="18"/>
  <c r="H173" i="18"/>
  <c r="H177" i="18"/>
  <c r="H181" i="18"/>
  <c r="H185" i="18"/>
  <c r="H189" i="18"/>
  <c r="H193" i="18"/>
  <c r="H197" i="18"/>
  <c r="H201" i="18"/>
  <c r="H205" i="18"/>
  <c r="H209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66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C53" i="18"/>
  <c r="D63" i="18"/>
  <c r="D87" i="18" s="1"/>
  <c r="D99" i="18" s="1"/>
  <c r="D111" i="18" s="1"/>
  <c r="D123" i="18" s="1"/>
  <c r="D135" i="18" s="1"/>
  <c r="D147" i="18" s="1"/>
  <c r="D159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C54" i="18"/>
  <c r="C49" i="18"/>
  <c r="C61" i="18"/>
  <c r="C85" i="18" s="1"/>
  <c r="C97" i="18" s="1"/>
  <c r="C109" i="18" s="1"/>
  <c r="C121" i="18" s="1"/>
  <c r="C133" i="18" s="1"/>
  <c r="C145" i="18" s="1"/>
  <c r="C157" i="18" s="1"/>
  <c r="C181" i="18" s="1"/>
  <c r="C193" i="18" s="1"/>
  <c r="C205" i="18" s="1"/>
  <c r="D53" i="18"/>
  <c r="C64" i="18"/>
  <c r="C76" i="18" s="1"/>
  <c r="D55" i="18"/>
  <c r="C51" i="18"/>
  <c r="C63" i="18"/>
  <c r="C87" i="18" s="1"/>
  <c r="C99" i="18" s="1"/>
  <c r="C111" i="18" s="1"/>
  <c r="C123" i="18" s="1"/>
  <c r="C135" i="18" s="1"/>
  <c r="C147" i="18" s="1"/>
  <c r="C159" i="18" s="1"/>
  <c r="D79" i="18"/>
  <c r="C44" i="18"/>
  <c r="C56" i="18"/>
  <c r="C80" i="18" s="1"/>
  <c r="C92" i="18" s="1"/>
  <c r="C104" i="18" s="1"/>
  <c r="C116" i="18" s="1"/>
  <c r="C128" i="18" s="1"/>
  <c r="C140" i="18" s="1"/>
  <c r="C152" i="18" s="1"/>
  <c r="D66" i="18"/>
  <c r="D78" i="18" s="1"/>
  <c r="C3" i="29"/>
  <c r="C73" i="18"/>
  <c r="D50" i="18"/>
  <c r="C57" i="18"/>
  <c r="C81" i="18" s="1"/>
  <c r="C93" i="18" s="1"/>
  <c r="C105" i="18" s="1"/>
  <c r="C117" i="18" s="1"/>
  <c r="C129" i="18" s="1"/>
  <c r="C141" i="18" s="1"/>
  <c r="C153" i="18" s="1"/>
  <c r="C88" i="18"/>
  <c r="C100" i="18" s="1"/>
  <c r="C112" i="18" s="1"/>
  <c r="C124" i="18" s="1"/>
  <c r="C136" i="18" s="1"/>
  <c r="C148" i="18" s="1"/>
  <c r="C160" i="18" s="1"/>
  <c r="C75" i="18"/>
  <c r="K149" i="18"/>
  <c r="K103" i="18"/>
  <c r="K161" i="18"/>
  <c r="K175" i="18"/>
  <c r="K150" i="18"/>
  <c r="K174" i="18"/>
  <c r="K151" i="18"/>
  <c r="K75" i="18"/>
  <c r="K173" i="18"/>
  <c r="K40" i="18"/>
  <c r="K39" i="18"/>
  <c r="K64" i="18"/>
  <c r="K195" i="18"/>
  <c r="K162" i="18"/>
  <c r="K77" i="18"/>
  <c r="K79" i="18"/>
  <c r="K55" i="18"/>
  <c r="K199" i="18"/>
  <c r="K78" i="18"/>
  <c r="G23" i="29"/>
  <c r="H35" i="29"/>
  <c r="H22" i="29"/>
  <c r="E25" i="29"/>
  <c r="E35" i="29"/>
  <c r="D31" i="29"/>
  <c r="G35" i="29"/>
  <c r="D27" i="29"/>
  <c r="D21" i="29"/>
  <c r="G26" i="29"/>
  <c r="H23" i="29"/>
  <c r="E23" i="29"/>
  <c r="E24" i="29"/>
  <c r="G25" i="29"/>
  <c r="D25" i="29"/>
  <c r="E37" i="29"/>
  <c r="D33" i="29"/>
  <c r="H32" i="29"/>
  <c r="G21" i="29"/>
  <c r="G22" i="29"/>
  <c r="H25" i="29"/>
  <c r="D32" i="29"/>
  <c r="D30" i="29"/>
  <c r="G28" i="29"/>
  <c r="E22" i="29"/>
  <c r="E29" i="29"/>
  <c r="D36" i="29"/>
  <c r="E36" i="29"/>
  <c r="D26" i="29"/>
  <c r="H37" i="29"/>
  <c r="E31" i="29"/>
  <c r="E32" i="29"/>
  <c r="G33" i="29"/>
  <c r="D23" i="29"/>
  <c r="H21" i="29"/>
  <c r="G29" i="29"/>
  <c r="H36" i="29"/>
  <c r="H27" i="29"/>
  <c r="G30" i="29"/>
  <c r="G27" i="29"/>
  <c r="G36" i="29"/>
  <c r="D22" i="29"/>
  <c r="H31" i="29"/>
  <c r="G24" i="29"/>
  <c r="E33" i="29"/>
  <c r="E26" i="29"/>
  <c r="D28" i="29"/>
  <c r="G32" i="29"/>
  <c r="H30" i="29"/>
  <c r="E27" i="29"/>
  <c r="D24" i="29"/>
  <c r="E28" i="29"/>
  <c r="D35" i="29"/>
  <c r="H24" i="29"/>
  <c r="E30" i="29"/>
  <c r="H26" i="29"/>
  <c r="H28" i="29"/>
  <c r="E21" i="29"/>
  <c r="H29" i="29"/>
  <c r="D29" i="29"/>
  <c r="G37" i="29"/>
  <c r="D37" i="29"/>
  <c r="G31" i="29"/>
  <c r="H33" i="29"/>
  <c r="E10" i="29" l="1"/>
  <c r="C78" i="18"/>
  <c r="C90" i="18"/>
  <c r="C102" i="18" s="1"/>
  <c r="C114" i="18" s="1"/>
  <c r="C126" i="18" s="1"/>
  <c r="C138" i="18" s="1"/>
  <c r="C150" i="18" s="1"/>
  <c r="C162" i="18" s="1"/>
  <c r="C72" i="18"/>
  <c r="D57" i="18"/>
  <c r="D69" i="18" s="1"/>
  <c r="D46" i="18"/>
  <c r="C68" i="18"/>
  <c r="O13" i="18"/>
  <c r="K53" i="18"/>
  <c r="K184" i="18"/>
  <c r="K67" i="18"/>
  <c r="K66" i="18"/>
  <c r="K54" i="18"/>
  <c r="K76" i="18"/>
  <c r="K148" i="18"/>
  <c r="K30" i="18"/>
  <c r="K43" i="18"/>
  <c r="K159" i="18"/>
  <c r="K135" i="18"/>
  <c r="K198" i="18"/>
  <c r="K91" i="18"/>
  <c r="K41" i="18"/>
  <c r="K160" i="18"/>
  <c r="K87" i="18"/>
  <c r="K136" i="18"/>
  <c r="K209" i="18"/>
  <c r="K138" i="18"/>
  <c r="K211" i="18"/>
  <c r="K185" i="18"/>
  <c r="K124" i="18"/>
  <c r="K63" i="18"/>
  <c r="K137" i="18"/>
  <c r="K31" i="18"/>
  <c r="K171" i="18"/>
  <c r="K65" i="18"/>
  <c r="K147" i="18"/>
  <c r="K208" i="18"/>
  <c r="K29" i="18"/>
  <c r="K114" i="18"/>
  <c r="K89" i="18"/>
  <c r="K42" i="18"/>
  <c r="K102" i="18"/>
  <c r="K113" i="18"/>
  <c r="K123" i="18"/>
  <c r="K101" i="18"/>
  <c r="K207" i="18"/>
  <c r="K196" i="18"/>
  <c r="K51" i="18"/>
  <c r="K186" i="18"/>
  <c r="K111" i="18"/>
  <c r="K27" i="18"/>
  <c r="K183" i="18"/>
  <c r="K100" i="18"/>
  <c r="K210" i="18"/>
  <c r="K99" i="18"/>
  <c r="K52" i="18"/>
  <c r="K197" i="18"/>
  <c r="K126" i="18"/>
  <c r="K139" i="18"/>
  <c r="E13" i="29"/>
  <c r="K187" i="18"/>
  <c r="K28" i="18"/>
  <c r="K115" i="18"/>
  <c r="K127" i="18"/>
  <c r="K88" i="18"/>
  <c r="J34" i="29"/>
  <c r="J39" i="29" s="1"/>
  <c r="G212" i="18"/>
  <c r="K125" i="18"/>
  <c r="K90" i="18"/>
  <c r="C67" i="18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C69" i="18"/>
  <c r="D56" i="18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5" i="18"/>
  <c r="C177" i="18"/>
  <c r="C189" i="18" s="1"/>
  <c r="C201" i="18" s="1"/>
  <c r="D183" i="18"/>
  <c r="D195" i="18" s="1"/>
  <c r="D207" i="18" s="1"/>
  <c r="D171" i="18"/>
  <c r="C164" i="18"/>
  <c r="C176" i="18"/>
  <c r="C188" i="18" s="1"/>
  <c r="C200" i="18" s="1"/>
  <c r="C186" i="18"/>
  <c r="C198" i="18" s="1"/>
  <c r="C210" i="18" s="1"/>
  <c r="C174" i="18"/>
  <c r="C180" i="18"/>
  <c r="C192" i="18" s="1"/>
  <c r="C204" i="18" s="1"/>
  <c r="C168" i="18"/>
  <c r="D182" i="18"/>
  <c r="D194" i="18" s="1"/>
  <c r="D206" i="18" s="1"/>
  <c r="C172" i="18"/>
  <c r="C184" i="18"/>
  <c r="C196" i="18" s="1"/>
  <c r="C208" i="18" s="1"/>
  <c r="D185" i="18"/>
  <c r="D197" i="18" s="1"/>
  <c r="D209" i="18" s="1"/>
  <c r="D173" i="18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D68" i="18"/>
  <c r="D80" i="18"/>
  <c r="D92" i="18" s="1"/>
  <c r="D104" i="18" s="1"/>
  <c r="D116" i="18" s="1"/>
  <c r="D128" i="18" s="1"/>
  <c r="D140" i="18" s="1"/>
  <c r="D152" i="18" s="1"/>
  <c r="C47" i="18"/>
  <c r="C59" i="18"/>
  <c r="D186" i="18"/>
  <c r="D198" i="18" s="1"/>
  <c r="D210" i="18" s="1"/>
  <c r="C16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79" i="18"/>
  <c r="C91" i="18"/>
  <c r="C103" i="18" s="1"/>
  <c r="C115" i="18" s="1"/>
  <c r="C127" i="18" s="1"/>
  <c r="C139" i="18" s="1"/>
  <c r="C151" i="18" s="1"/>
  <c r="C163" i="18" s="1"/>
  <c r="C89" i="18"/>
  <c r="C101" i="18" s="1"/>
  <c r="C113" i="18" s="1"/>
  <c r="C125" i="18" s="1"/>
  <c r="C137" i="18" s="1"/>
  <c r="C149" i="18" s="1"/>
  <c r="C161" i="18" s="1"/>
  <c r="C77" i="18"/>
  <c r="D84" i="18"/>
  <c r="D96" i="18" s="1"/>
  <c r="D108" i="18" s="1"/>
  <c r="D120" i="18" s="1"/>
  <c r="D132" i="18" s="1"/>
  <c r="D144" i="18" s="1"/>
  <c r="D156" i="18" s="1"/>
  <c r="D75" i="18"/>
  <c r="K163" i="18"/>
  <c r="K172" i="18"/>
  <c r="K112" i="18"/>
  <c r="D64" i="18"/>
  <c r="D52" i="18"/>
  <c r="D81" i="18" l="1"/>
  <c r="D93" i="18" s="1"/>
  <c r="D105" i="18" s="1"/>
  <c r="D117" i="18" s="1"/>
  <c r="D129" i="18" s="1"/>
  <c r="D141" i="18" s="1"/>
  <c r="D153" i="18" s="1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I35" i="29"/>
  <c r="F38" i="29"/>
  <c r="D168" i="18"/>
  <c r="D180" i="18"/>
  <c r="D192" i="18" s="1"/>
  <c r="D204" i="18" s="1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F39" i="29" l="1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K203" i="18" l="1"/>
  <c r="K191" i="18"/>
  <c r="K179" i="18"/>
  <c r="K167" i="18"/>
  <c r="K155" i="18"/>
  <c r="K143" i="18"/>
  <c r="K131" i="18"/>
  <c r="K119" i="18"/>
  <c r="K107" i="18"/>
  <c r="K95" i="18"/>
  <c r="K83" i="18"/>
  <c r="K71" i="18"/>
  <c r="K59" i="18"/>
  <c r="K47" i="18"/>
  <c r="K35" i="18"/>
  <c r="K26" i="18"/>
  <c r="K22" i="18"/>
  <c r="K106" i="18"/>
  <c r="K98" i="18"/>
  <c r="K94" i="18"/>
  <c r="K86" i="18"/>
  <c r="K82" i="18"/>
  <c r="K74" i="18"/>
  <c r="K206" i="18"/>
  <c r="K202" i="18"/>
  <c r="K194" i="18"/>
  <c r="K190" i="18"/>
  <c r="K182" i="18"/>
  <c r="K178" i="18"/>
  <c r="K170" i="18"/>
  <c r="K166" i="18"/>
  <c r="K158" i="18"/>
  <c r="K154" i="18"/>
  <c r="K146" i="18"/>
  <c r="K142" i="18"/>
  <c r="K134" i="18"/>
  <c r="K130" i="18"/>
  <c r="K122" i="18"/>
  <c r="K118" i="18"/>
  <c r="K110" i="18"/>
  <c r="K204" i="18"/>
  <c r="K188" i="18"/>
  <c r="K180" i="18"/>
  <c r="K164" i="18"/>
  <c r="K156" i="18"/>
  <c r="K140" i="18"/>
  <c r="K132" i="18"/>
  <c r="K116" i="18"/>
  <c r="K108" i="18"/>
  <c r="K92" i="18"/>
  <c r="K84" i="18"/>
  <c r="K70" i="18"/>
  <c r="K60" i="18"/>
  <c r="K49" i="18"/>
  <c r="K44" i="18"/>
  <c r="K38" i="18"/>
  <c r="K33" i="18"/>
  <c r="K23" i="18"/>
  <c r="K69" i="18"/>
  <c r="K58" i="18"/>
  <c r="K48" i="18"/>
  <c r="K37" i="18"/>
  <c r="K21" i="18"/>
  <c r="K201" i="18"/>
  <c r="K193" i="18"/>
  <c r="K177" i="18"/>
  <c r="K169" i="18"/>
  <c r="K153" i="18"/>
  <c r="K145" i="18"/>
  <c r="K129" i="18"/>
  <c r="K121" i="18"/>
  <c r="K105" i="18"/>
  <c r="K97" i="18"/>
  <c r="K81" i="18"/>
  <c r="K32" i="18"/>
  <c r="K200" i="18"/>
  <c r="K192" i="18"/>
  <c r="K176" i="18"/>
  <c r="K168" i="18"/>
  <c r="K152" i="18"/>
  <c r="K144" i="18"/>
  <c r="K128" i="18"/>
  <c r="K120" i="18"/>
  <c r="K104" i="18"/>
  <c r="K96" i="18"/>
  <c r="K80" i="18"/>
  <c r="K73" i="18"/>
  <c r="K68" i="18"/>
  <c r="K62" i="18"/>
  <c r="K57" i="18"/>
  <c r="K46" i="18"/>
  <c r="K36" i="18"/>
  <c r="K25" i="18"/>
  <c r="K20" i="18"/>
  <c r="K205" i="18"/>
  <c r="K189" i="18"/>
  <c r="K181" i="18"/>
  <c r="K165" i="18"/>
  <c r="K157" i="18"/>
  <c r="K141" i="18"/>
  <c r="K133" i="18"/>
  <c r="K117" i="18"/>
  <c r="K109" i="18"/>
  <c r="K93" i="18"/>
  <c r="K85" i="18"/>
  <c r="K72" i="18"/>
  <c r="K61" i="18"/>
  <c r="K56" i="18"/>
  <c r="K50" i="18"/>
  <c r="K45" i="18"/>
  <c r="K34" i="18"/>
  <c r="K24" i="18"/>
  <c r="K13" i="18" l="1"/>
  <c r="K14" i="18"/>
  <c r="K212" i="18"/>
  <c r="F12" i="29" l="1"/>
  <c r="M154" i="18" l="1"/>
  <c r="M34" i="18"/>
  <c r="M140" i="18"/>
  <c r="M84" i="18"/>
  <c r="M37" i="18"/>
  <c r="M113" i="18"/>
  <c r="M97" i="18"/>
  <c r="M62" i="18"/>
  <c r="M195" i="18"/>
  <c r="M70" i="18"/>
  <c r="M193" i="18"/>
  <c r="M167" i="18"/>
  <c r="M78" i="18"/>
  <c r="M27" i="18"/>
  <c r="M75" i="18"/>
  <c r="M54" i="18"/>
  <c r="M53" i="18"/>
  <c r="M145" i="18"/>
  <c r="M89" i="18"/>
  <c r="M185" i="18"/>
  <c r="M147" i="18"/>
  <c r="M192" i="18"/>
  <c r="M50" i="18"/>
  <c r="M211" i="18"/>
  <c r="M100" i="18"/>
  <c r="M33" i="18"/>
  <c r="M116" i="18"/>
  <c r="M126" i="18"/>
  <c r="M104" i="18"/>
  <c r="M210" i="18"/>
  <c r="M206" i="18"/>
  <c r="M183" i="18"/>
  <c r="M136" i="18"/>
  <c r="M26" i="18"/>
  <c r="M199" i="18"/>
  <c r="M139" i="18"/>
  <c r="M127" i="18"/>
  <c r="M184" i="18"/>
  <c r="M60" i="18"/>
  <c r="M69" i="18"/>
  <c r="M55" i="18"/>
  <c r="M208" i="18"/>
  <c r="M42" i="18"/>
  <c r="M65" i="18"/>
  <c r="M205" i="18"/>
  <c r="M180" i="18"/>
  <c r="M170" i="18"/>
  <c r="M173" i="18"/>
  <c r="M57" i="18"/>
  <c r="M177" i="18"/>
  <c r="M90" i="18"/>
  <c r="M66" i="18"/>
  <c r="M141" i="18"/>
  <c r="M198" i="18"/>
  <c r="M64" i="18"/>
  <c r="M165" i="18"/>
  <c r="M51" i="18"/>
  <c r="M30" i="18"/>
  <c r="M128" i="18"/>
  <c r="M172" i="18"/>
  <c r="M186" i="18"/>
  <c r="M117" i="18"/>
  <c r="M110" i="18"/>
  <c r="M85" i="18"/>
  <c r="M25" i="18"/>
  <c r="M207" i="18"/>
  <c r="M101" i="18"/>
  <c r="M40" i="18"/>
  <c r="M80" i="18"/>
  <c r="M87" i="18"/>
  <c r="M150" i="18"/>
  <c r="M156" i="18"/>
  <c r="M209" i="18"/>
  <c r="M169" i="18"/>
  <c r="M133" i="18"/>
  <c r="M142" i="18"/>
  <c r="M160" i="18"/>
  <c r="M181" i="18"/>
  <c r="M56" i="18"/>
  <c r="M93" i="18"/>
  <c r="M124" i="18"/>
  <c r="M148" i="18"/>
  <c r="M187" i="18"/>
  <c r="M159" i="18"/>
  <c r="M81" i="18"/>
  <c r="M49" i="18"/>
  <c r="M162" i="18"/>
  <c r="M188" i="18"/>
  <c r="M103" i="18"/>
  <c r="M92" i="18"/>
  <c r="M67" i="18"/>
  <c r="M191" i="18"/>
  <c r="M46" i="18"/>
  <c r="M176" i="18"/>
  <c r="M71" i="18"/>
  <c r="M149" i="18"/>
  <c r="M35" i="18"/>
  <c r="M129" i="18"/>
  <c r="M125" i="18"/>
  <c r="M61" i="18"/>
  <c r="M137" i="18"/>
  <c r="M72" i="18"/>
  <c r="M122" i="18"/>
  <c r="M44" i="18"/>
  <c r="M189" i="18"/>
  <c r="M24" i="18"/>
  <c r="M174" i="18"/>
  <c r="M58" i="18"/>
  <c r="M157" i="18"/>
  <c r="M179" i="18"/>
  <c r="M200" i="18"/>
  <c r="M21" i="18"/>
  <c r="M112" i="18"/>
  <c r="M146" i="18"/>
  <c r="M132" i="18"/>
  <c r="M118" i="18"/>
  <c r="M102" i="18"/>
  <c r="M175" i="18"/>
  <c r="M178" i="18"/>
  <c r="M202" i="18"/>
  <c r="M182" i="18"/>
  <c r="M164" i="18"/>
  <c r="M153" i="18"/>
  <c r="M41" i="18"/>
  <c r="M203" i="18"/>
  <c r="M39" i="18"/>
  <c r="M143" i="18"/>
  <c r="M32" i="18"/>
  <c r="M119" i="18"/>
  <c r="M151" i="18"/>
  <c r="M43" i="18"/>
  <c r="M109" i="18"/>
  <c r="M201" i="18"/>
  <c r="M155" i="18"/>
  <c r="M196" i="18"/>
  <c r="M76" i="18"/>
  <c r="M163" i="18"/>
  <c r="M88" i="18"/>
  <c r="M138" i="18"/>
  <c r="M190" i="18"/>
  <c r="M82" i="18"/>
  <c r="M29" i="18"/>
  <c r="M77" i="18"/>
  <c r="M105" i="18"/>
  <c r="M22" i="18"/>
  <c r="M96" i="18"/>
  <c r="M38" i="18"/>
  <c r="M63" i="18"/>
  <c r="M31" i="18"/>
  <c r="M36" i="18"/>
  <c r="M94" i="18"/>
  <c r="M74" i="18"/>
  <c r="M52" i="18"/>
  <c r="M123" i="18"/>
  <c r="M83" i="18"/>
  <c r="M111" i="18"/>
  <c r="M86" i="18"/>
  <c r="M73" i="18"/>
  <c r="M194" i="18"/>
  <c r="M134" i="18"/>
  <c r="M114" i="18"/>
  <c r="M47" i="18"/>
  <c r="M115" i="18"/>
  <c r="M108" i="18"/>
  <c r="M95" i="18"/>
  <c r="M158" i="18"/>
  <c r="M68" i="18"/>
  <c r="M131" i="18"/>
  <c r="M144" i="18"/>
  <c r="M161" i="18"/>
  <c r="M59" i="18"/>
  <c r="M98" i="18"/>
  <c r="M135" i="18"/>
  <c r="M121" i="18"/>
  <c r="M48" i="18"/>
  <c r="M99" i="18"/>
  <c r="M171" i="18"/>
  <c r="M45" i="18"/>
  <c r="M106" i="18"/>
  <c r="M91" i="18"/>
  <c r="M168" i="18"/>
  <c r="M20" i="18"/>
  <c r="M197" i="18"/>
  <c r="M28" i="18"/>
  <c r="M120" i="18"/>
  <c r="M204" i="18"/>
  <c r="M23" i="18"/>
  <c r="M107" i="18"/>
  <c r="M79" i="18"/>
  <c r="M166" i="18"/>
  <c r="M130" i="18"/>
  <c r="M152" i="18"/>
  <c r="M13" i="18" l="1"/>
  <c r="M212" i="18"/>
  <c r="I175" i="18" l="1"/>
  <c r="J175" i="18" s="1"/>
  <c r="L175" i="18" s="1"/>
  <c r="N175" i="18" s="1"/>
  <c r="R175" i="18" s="1"/>
  <c r="I123" i="18"/>
  <c r="J123" i="18" s="1"/>
  <c r="L123" i="18" s="1"/>
  <c r="N123" i="18" s="1"/>
  <c r="R123" i="18" s="1"/>
  <c r="I141" i="18"/>
  <c r="J141" i="18" s="1"/>
  <c r="L141" i="18" s="1"/>
  <c r="N141" i="18" s="1"/>
  <c r="R141" i="18" s="1"/>
  <c r="I135" i="18"/>
  <c r="J135" i="18" s="1"/>
  <c r="L135" i="18" s="1"/>
  <c r="N135" i="18" s="1"/>
  <c r="R135" i="18" s="1"/>
  <c r="I157" i="18"/>
  <c r="J157" i="18" s="1"/>
  <c r="L157" i="18" s="1"/>
  <c r="N157" i="18" s="1"/>
  <c r="R157" i="18" s="1"/>
  <c r="I154" i="18"/>
  <c r="J154" i="18" s="1"/>
  <c r="L154" i="18" s="1"/>
  <c r="N154" i="18" s="1"/>
  <c r="R154" i="18" s="1"/>
  <c r="I192" i="18"/>
  <c r="J192" i="18" s="1"/>
  <c r="L192" i="18" s="1"/>
  <c r="N192" i="18" s="1"/>
  <c r="R192" i="18" s="1"/>
  <c r="I21" i="18"/>
  <c r="J21" i="18" s="1"/>
  <c r="L21" i="18" s="1"/>
  <c r="N21" i="18" s="1"/>
  <c r="R21" i="18" s="1"/>
  <c r="I94" i="18"/>
  <c r="J94" i="18" s="1"/>
  <c r="L94" i="18" s="1"/>
  <c r="N94" i="18" s="1"/>
  <c r="R94" i="18" s="1"/>
  <c r="I149" i="18"/>
  <c r="J149" i="18" s="1"/>
  <c r="L149" i="18" s="1"/>
  <c r="N149" i="18" s="1"/>
  <c r="R149" i="18" s="1"/>
  <c r="I107" i="18"/>
  <c r="J107" i="18" s="1"/>
  <c r="L107" i="18" s="1"/>
  <c r="N107" i="18" s="1"/>
  <c r="R107" i="18" s="1"/>
  <c r="I178" i="18"/>
  <c r="J178" i="18" s="1"/>
  <c r="L178" i="18" s="1"/>
  <c r="N178" i="18" s="1"/>
  <c r="R178" i="18" s="1"/>
  <c r="I30" i="18"/>
  <c r="J30" i="18" s="1"/>
  <c r="L30" i="18" s="1"/>
  <c r="N30" i="18" s="1"/>
  <c r="R30" i="18" s="1"/>
  <c r="I171" i="18"/>
  <c r="J171" i="18" s="1"/>
  <c r="L171" i="18" s="1"/>
  <c r="N171" i="18" s="1"/>
  <c r="R171" i="18" s="1"/>
  <c r="I127" i="18"/>
  <c r="J127" i="18" s="1"/>
  <c r="L127" i="18" s="1"/>
  <c r="N127" i="18" s="1"/>
  <c r="R127" i="18" s="1"/>
  <c r="I111" i="18"/>
  <c r="J111" i="18" s="1"/>
  <c r="L111" i="18" s="1"/>
  <c r="N111" i="18" s="1"/>
  <c r="R111" i="18" s="1"/>
  <c r="I196" i="18"/>
  <c r="J196" i="18" s="1"/>
  <c r="L196" i="18" s="1"/>
  <c r="N196" i="18" s="1"/>
  <c r="R196" i="18" s="1"/>
  <c r="I59" i="18"/>
  <c r="J59" i="18" s="1"/>
  <c r="L59" i="18" s="1"/>
  <c r="N59" i="18" s="1"/>
  <c r="R59" i="18" s="1"/>
  <c r="I151" i="18"/>
  <c r="J151" i="18" s="1"/>
  <c r="L151" i="18" s="1"/>
  <c r="N151" i="18" s="1"/>
  <c r="R151" i="18" s="1"/>
  <c r="I189" i="18"/>
  <c r="J189" i="18" s="1"/>
  <c r="L189" i="18" s="1"/>
  <c r="N189" i="18" s="1"/>
  <c r="R189" i="18" s="1"/>
  <c r="I134" i="18"/>
  <c r="J134" i="18" s="1"/>
  <c r="L134" i="18" s="1"/>
  <c r="N134" i="18" s="1"/>
  <c r="R134" i="18" s="1"/>
  <c r="I195" i="18"/>
  <c r="J195" i="18" s="1"/>
  <c r="L195" i="18" s="1"/>
  <c r="N195" i="18" s="1"/>
  <c r="R195" i="18" s="1"/>
  <c r="I57" i="18"/>
  <c r="J57" i="18" s="1"/>
  <c r="L57" i="18" s="1"/>
  <c r="N57" i="18" s="1"/>
  <c r="R57" i="18" s="1"/>
  <c r="I80" i="18"/>
  <c r="J80" i="18" s="1"/>
  <c r="L80" i="18" s="1"/>
  <c r="N80" i="18" s="1"/>
  <c r="R80" i="18" s="1"/>
  <c r="I75" i="18"/>
  <c r="J75" i="18" s="1"/>
  <c r="L75" i="18" s="1"/>
  <c r="N75" i="18" s="1"/>
  <c r="R75" i="18" s="1"/>
  <c r="I165" i="18"/>
  <c r="J165" i="18" s="1"/>
  <c r="L165" i="18" s="1"/>
  <c r="N165" i="18" s="1"/>
  <c r="R165" i="18" s="1"/>
  <c r="I33" i="18"/>
  <c r="J33" i="18" s="1"/>
  <c r="L33" i="18" s="1"/>
  <c r="N33" i="18" s="1"/>
  <c r="R33" i="18" s="1"/>
  <c r="I161" i="18"/>
  <c r="J161" i="18" s="1"/>
  <c r="L161" i="18" s="1"/>
  <c r="N161" i="18" s="1"/>
  <c r="R161" i="18" s="1"/>
  <c r="I201" i="18"/>
  <c r="J201" i="18" s="1"/>
  <c r="L201" i="18" s="1"/>
  <c r="N201" i="18" s="1"/>
  <c r="R201" i="18" s="1"/>
  <c r="I181" i="18"/>
  <c r="J181" i="18" s="1"/>
  <c r="L181" i="18" s="1"/>
  <c r="N181" i="18" s="1"/>
  <c r="R181" i="18" s="1"/>
  <c r="I113" i="18"/>
  <c r="J113" i="18" s="1"/>
  <c r="L113" i="18" s="1"/>
  <c r="N113" i="18" s="1"/>
  <c r="R113" i="18" s="1"/>
  <c r="I191" i="18"/>
  <c r="J191" i="18" s="1"/>
  <c r="L191" i="18" s="1"/>
  <c r="N191" i="18" s="1"/>
  <c r="R191" i="18" s="1"/>
  <c r="I170" i="18"/>
  <c r="J170" i="18" s="1"/>
  <c r="L170" i="18" s="1"/>
  <c r="N170" i="18" s="1"/>
  <c r="R170" i="18" s="1"/>
  <c r="I71" i="18"/>
  <c r="J71" i="18" s="1"/>
  <c r="L71" i="18" s="1"/>
  <c r="N71" i="18" s="1"/>
  <c r="R71" i="18" s="1"/>
  <c r="I32" i="18"/>
  <c r="J32" i="18" s="1"/>
  <c r="L32" i="18" s="1"/>
  <c r="N32" i="18" s="1"/>
  <c r="R32" i="18" s="1"/>
  <c r="I67" i="18"/>
  <c r="J67" i="18" s="1"/>
  <c r="L67" i="18" s="1"/>
  <c r="N67" i="18" s="1"/>
  <c r="R67" i="18" s="1"/>
  <c r="I110" i="18"/>
  <c r="J110" i="18" s="1"/>
  <c r="L110" i="18" s="1"/>
  <c r="N110" i="18" s="1"/>
  <c r="R110" i="18" s="1"/>
  <c r="I143" i="18"/>
  <c r="J143" i="18" s="1"/>
  <c r="L143" i="18" s="1"/>
  <c r="N143" i="18" s="1"/>
  <c r="R143" i="18" s="1"/>
  <c r="I99" i="18"/>
  <c r="J99" i="18" s="1"/>
  <c r="L99" i="18" s="1"/>
  <c r="N99" i="18" s="1"/>
  <c r="R99" i="18" s="1"/>
  <c r="I23" i="18"/>
  <c r="J23" i="18" s="1"/>
  <c r="L23" i="18" s="1"/>
  <c r="N23" i="18" s="1"/>
  <c r="R23" i="18" s="1"/>
  <c r="I138" i="18"/>
  <c r="J138" i="18" s="1"/>
  <c r="L138" i="18" s="1"/>
  <c r="N138" i="18" s="1"/>
  <c r="R138" i="18" s="1"/>
  <c r="I180" i="18"/>
  <c r="J180" i="18" s="1"/>
  <c r="L180" i="18" s="1"/>
  <c r="N180" i="18" s="1"/>
  <c r="R180" i="18" s="1"/>
  <c r="I185" i="18"/>
  <c r="J185" i="18" s="1"/>
  <c r="L185" i="18" s="1"/>
  <c r="N185" i="18" s="1"/>
  <c r="R185" i="18" s="1"/>
  <c r="I27" i="18"/>
  <c r="J27" i="18" s="1"/>
  <c r="L27" i="18" s="1"/>
  <c r="N27" i="18" s="1"/>
  <c r="R27" i="18" s="1"/>
  <c r="I100" i="18"/>
  <c r="J100" i="18" s="1"/>
  <c r="L100" i="18" s="1"/>
  <c r="N100" i="18" s="1"/>
  <c r="R100" i="18" s="1"/>
  <c r="I36" i="18"/>
  <c r="J36" i="18" s="1"/>
  <c r="L36" i="18" s="1"/>
  <c r="N36" i="18" s="1"/>
  <c r="R36" i="18" s="1"/>
  <c r="I211" i="18"/>
  <c r="J211" i="18" s="1"/>
  <c r="L211" i="18" s="1"/>
  <c r="N211" i="18" s="1"/>
  <c r="R211" i="18" s="1"/>
  <c r="I162" i="18"/>
  <c r="J162" i="18" s="1"/>
  <c r="L162" i="18" s="1"/>
  <c r="N162" i="18" s="1"/>
  <c r="R162" i="18" s="1"/>
  <c r="I47" i="18"/>
  <c r="J47" i="18" s="1"/>
  <c r="L47" i="18" s="1"/>
  <c r="N47" i="18" s="1"/>
  <c r="R47" i="18" s="1"/>
  <c r="I20" i="18"/>
  <c r="J20" i="18" s="1"/>
  <c r="I51" i="18"/>
  <c r="J51" i="18" s="1"/>
  <c r="L51" i="18" s="1"/>
  <c r="N51" i="18" s="1"/>
  <c r="R51" i="18" s="1"/>
  <c r="I208" i="18"/>
  <c r="J208" i="18" s="1"/>
  <c r="L208" i="18" s="1"/>
  <c r="N208" i="18" s="1"/>
  <c r="R208" i="18" s="1"/>
  <c r="I77" i="18"/>
  <c r="J77" i="18" s="1"/>
  <c r="L77" i="18" s="1"/>
  <c r="N77" i="18" s="1"/>
  <c r="R77" i="18" s="1"/>
  <c r="I206" i="18"/>
  <c r="J206" i="18" s="1"/>
  <c r="L206" i="18" s="1"/>
  <c r="N206" i="18" s="1"/>
  <c r="R206" i="18" s="1"/>
  <c r="I126" i="18"/>
  <c r="J126" i="18" s="1"/>
  <c r="L126" i="18" s="1"/>
  <c r="N126" i="18" s="1"/>
  <c r="R126" i="18" s="1"/>
  <c r="I84" i="18"/>
  <c r="J84" i="18" s="1"/>
  <c r="L84" i="18" s="1"/>
  <c r="N84" i="18" s="1"/>
  <c r="R84" i="18" s="1"/>
  <c r="I35" i="18"/>
  <c r="J35" i="18" s="1"/>
  <c r="L35" i="18" s="1"/>
  <c r="N35" i="18" s="1"/>
  <c r="R35" i="18" s="1"/>
  <c r="I43" i="18"/>
  <c r="J43" i="18" s="1"/>
  <c r="L43" i="18" s="1"/>
  <c r="N43" i="18" s="1"/>
  <c r="R43" i="18" s="1"/>
  <c r="I194" i="18"/>
  <c r="J194" i="18" s="1"/>
  <c r="L194" i="18" s="1"/>
  <c r="N194" i="18" s="1"/>
  <c r="R194" i="18" s="1"/>
  <c r="I179" i="18"/>
  <c r="J179" i="18" s="1"/>
  <c r="L179" i="18" s="1"/>
  <c r="N179" i="18" s="1"/>
  <c r="R179" i="18" s="1"/>
  <c r="I204" i="18"/>
  <c r="J204" i="18" s="1"/>
  <c r="L204" i="18" s="1"/>
  <c r="N204" i="18" s="1"/>
  <c r="R204" i="18" s="1"/>
  <c r="I45" i="18"/>
  <c r="J45" i="18" s="1"/>
  <c r="L45" i="18" s="1"/>
  <c r="N45" i="18" s="1"/>
  <c r="R45" i="18" s="1"/>
  <c r="I145" i="18"/>
  <c r="J145" i="18" s="1"/>
  <c r="L145" i="18" s="1"/>
  <c r="N145" i="18" s="1"/>
  <c r="R145" i="18" s="1"/>
  <c r="I121" i="18"/>
  <c r="J121" i="18" s="1"/>
  <c r="L121" i="18" s="1"/>
  <c r="N121" i="18" s="1"/>
  <c r="R121" i="18" s="1"/>
  <c r="I102" i="18"/>
  <c r="J102" i="18" s="1"/>
  <c r="L102" i="18" s="1"/>
  <c r="N102" i="18" s="1"/>
  <c r="R102" i="18" s="1"/>
  <c r="I74" i="18"/>
  <c r="J74" i="18" s="1"/>
  <c r="L74" i="18" s="1"/>
  <c r="N74" i="18" s="1"/>
  <c r="R74" i="18" s="1"/>
  <c r="I52" i="18"/>
  <c r="J52" i="18" s="1"/>
  <c r="L52" i="18" s="1"/>
  <c r="N52" i="18" s="1"/>
  <c r="R52" i="18" s="1"/>
  <c r="I146" i="18"/>
  <c r="J146" i="18" s="1"/>
  <c r="L146" i="18" s="1"/>
  <c r="N146" i="18" s="1"/>
  <c r="R146" i="18" s="1"/>
  <c r="I89" i="18"/>
  <c r="J89" i="18" s="1"/>
  <c r="L89" i="18" s="1"/>
  <c r="N89" i="18" s="1"/>
  <c r="R89" i="18" s="1"/>
  <c r="I78" i="18"/>
  <c r="J78" i="18" s="1"/>
  <c r="L78" i="18" s="1"/>
  <c r="N78" i="18" s="1"/>
  <c r="R78" i="18" s="1"/>
  <c r="I88" i="18"/>
  <c r="J88" i="18" s="1"/>
  <c r="L88" i="18" s="1"/>
  <c r="N88" i="18" s="1"/>
  <c r="R88" i="18" s="1"/>
  <c r="I172" i="18"/>
  <c r="J172" i="18" s="1"/>
  <c r="L172" i="18" s="1"/>
  <c r="N172" i="18" s="1"/>
  <c r="R172" i="18" s="1"/>
  <c r="I200" i="18"/>
  <c r="J200" i="18" s="1"/>
  <c r="L200" i="18" s="1"/>
  <c r="N200" i="18" s="1"/>
  <c r="R200" i="18" s="1"/>
  <c r="I190" i="18"/>
  <c r="J190" i="18" s="1"/>
  <c r="L190" i="18" s="1"/>
  <c r="N190" i="18" s="1"/>
  <c r="R190" i="18" s="1"/>
  <c r="I120" i="18"/>
  <c r="J120" i="18" s="1"/>
  <c r="L120" i="18" s="1"/>
  <c r="N120" i="18" s="1"/>
  <c r="R120" i="18" s="1"/>
  <c r="I169" i="18"/>
  <c r="J169" i="18" s="1"/>
  <c r="L169" i="18" s="1"/>
  <c r="N169" i="18" s="1"/>
  <c r="R169" i="18" s="1"/>
  <c r="I133" i="18"/>
  <c r="J133" i="18" s="1"/>
  <c r="L133" i="18" s="1"/>
  <c r="N133" i="18" s="1"/>
  <c r="R133" i="18" s="1"/>
  <c r="I198" i="18"/>
  <c r="J198" i="18" s="1"/>
  <c r="L198" i="18" s="1"/>
  <c r="N198" i="18" s="1"/>
  <c r="R198" i="18" s="1"/>
  <c r="I119" i="18"/>
  <c r="J119" i="18" s="1"/>
  <c r="L119" i="18" s="1"/>
  <c r="N119" i="18" s="1"/>
  <c r="R119" i="18" s="1"/>
  <c r="I139" i="18"/>
  <c r="J139" i="18" s="1"/>
  <c r="L139" i="18" s="1"/>
  <c r="N139" i="18" s="1"/>
  <c r="R139" i="18" s="1"/>
  <c r="I210" i="18"/>
  <c r="J210" i="18" s="1"/>
  <c r="L210" i="18" s="1"/>
  <c r="N210" i="18" s="1"/>
  <c r="R210" i="18" s="1"/>
  <c r="I34" i="18"/>
  <c r="J34" i="18" s="1"/>
  <c r="L34" i="18" s="1"/>
  <c r="N34" i="18" s="1"/>
  <c r="R34" i="18" s="1"/>
  <c r="I79" i="18"/>
  <c r="J79" i="18" s="1"/>
  <c r="L79" i="18" s="1"/>
  <c r="N79" i="18" s="1"/>
  <c r="R79" i="18" s="1"/>
  <c r="I42" i="18"/>
  <c r="J42" i="18" s="1"/>
  <c r="L42" i="18" s="1"/>
  <c r="N42" i="18" s="1"/>
  <c r="R42" i="18" s="1"/>
  <c r="I144" i="18"/>
  <c r="J144" i="18" s="1"/>
  <c r="L144" i="18" s="1"/>
  <c r="N144" i="18" s="1"/>
  <c r="R144" i="18" s="1"/>
  <c r="I205" i="18"/>
  <c r="J205" i="18" s="1"/>
  <c r="L205" i="18" s="1"/>
  <c r="N205" i="18" s="1"/>
  <c r="R205" i="18" s="1"/>
  <c r="I106" i="18"/>
  <c r="J106" i="18" s="1"/>
  <c r="L106" i="18" s="1"/>
  <c r="N106" i="18" s="1"/>
  <c r="R106" i="18" s="1"/>
  <c r="I90" i="18"/>
  <c r="J90" i="18" s="1"/>
  <c r="L90" i="18" s="1"/>
  <c r="N90" i="18" s="1"/>
  <c r="R90" i="18" s="1"/>
  <c r="I117" i="18"/>
  <c r="J117" i="18" s="1"/>
  <c r="L117" i="18" s="1"/>
  <c r="N117" i="18" s="1"/>
  <c r="R117" i="18" s="1"/>
  <c r="I116" i="18"/>
  <c r="J116" i="18" s="1"/>
  <c r="L116" i="18" s="1"/>
  <c r="N116" i="18" s="1"/>
  <c r="R116" i="18" s="1"/>
  <c r="I25" i="18"/>
  <c r="J25" i="18" s="1"/>
  <c r="L25" i="18" s="1"/>
  <c r="N25" i="18" s="1"/>
  <c r="R25" i="18" s="1"/>
  <c r="I41" i="18"/>
  <c r="J41" i="18" s="1"/>
  <c r="L41" i="18" s="1"/>
  <c r="N41" i="18" s="1"/>
  <c r="R41" i="18" s="1"/>
  <c r="I118" i="18"/>
  <c r="J118" i="18" s="1"/>
  <c r="L118" i="18" s="1"/>
  <c r="N118" i="18" s="1"/>
  <c r="R118" i="18" s="1"/>
  <c r="I76" i="18"/>
  <c r="J76" i="18" s="1"/>
  <c r="L76" i="18" s="1"/>
  <c r="N76" i="18" s="1"/>
  <c r="R76" i="18" s="1"/>
  <c r="I93" i="18"/>
  <c r="J93" i="18" s="1"/>
  <c r="L93" i="18" s="1"/>
  <c r="N93" i="18" s="1"/>
  <c r="R93" i="18" s="1"/>
  <c r="I137" i="18"/>
  <c r="J137" i="18" s="1"/>
  <c r="L137" i="18" s="1"/>
  <c r="N137" i="18" s="1"/>
  <c r="R137" i="18" s="1"/>
  <c r="I142" i="18"/>
  <c r="J142" i="18" s="1"/>
  <c r="L142" i="18" s="1"/>
  <c r="N142" i="18" s="1"/>
  <c r="R142" i="18" s="1"/>
  <c r="I163" i="18"/>
  <c r="J163" i="18" s="1"/>
  <c r="L163" i="18" s="1"/>
  <c r="N163" i="18" s="1"/>
  <c r="R163" i="18" s="1"/>
  <c r="I193" i="18"/>
  <c r="J193" i="18" s="1"/>
  <c r="L193" i="18" s="1"/>
  <c r="N193" i="18" s="1"/>
  <c r="R193" i="18" s="1"/>
  <c r="I187" i="18"/>
  <c r="J187" i="18" s="1"/>
  <c r="L187" i="18" s="1"/>
  <c r="N187" i="18" s="1"/>
  <c r="R187" i="18" s="1"/>
  <c r="I188" i="18"/>
  <c r="J188" i="18" s="1"/>
  <c r="L188" i="18" s="1"/>
  <c r="N188" i="18" s="1"/>
  <c r="R188" i="18" s="1"/>
  <c r="I105" i="18"/>
  <c r="J105" i="18" s="1"/>
  <c r="L105" i="18" s="1"/>
  <c r="N105" i="18" s="1"/>
  <c r="R105" i="18" s="1"/>
  <c r="I60" i="18"/>
  <c r="J60" i="18" s="1"/>
  <c r="L60" i="18" s="1"/>
  <c r="N60" i="18" s="1"/>
  <c r="R60" i="18" s="1"/>
  <c r="I152" i="18"/>
  <c r="J152" i="18" s="1"/>
  <c r="L152" i="18" s="1"/>
  <c r="N152" i="18" s="1"/>
  <c r="R152" i="18" s="1"/>
  <c r="I37" i="18"/>
  <c r="J37" i="18" s="1"/>
  <c r="L37" i="18" s="1"/>
  <c r="N37" i="18" s="1"/>
  <c r="R37" i="18" s="1"/>
  <c r="I174" i="18"/>
  <c r="J174" i="18" s="1"/>
  <c r="L174" i="18" s="1"/>
  <c r="N174" i="18" s="1"/>
  <c r="R174" i="18" s="1"/>
  <c r="I155" i="18"/>
  <c r="J155" i="18" s="1"/>
  <c r="L155" i="18" s="1"/>
  <c r="N155" i="18" s="1"/>
  <c r="R155" i="18" s="1"/>
  <c r="I72" i="18"/>
  <c r="J72" i="18" s="1"/>
  <c r="L72" i="18" s="1"/>
  <c r="N72" i="18" s="1"/>
  <c r="R72" i="18" s="1"/>
  <c r="I209" i="18"/>
  <c r="J209" i="18" s="1"/>
  <c r="L209" i="18" s="1"/>
  <c r="N209" i="18" s="1"/>
  <c r="R209" i="18" s="1"/>
  <c r="I159" i="18"/>
  <c r="J159" i="18" s="1"/>
  <c r="L159" i="18" s="1"/>
  <c r="N159" i="18" s="1"/>
  <c r="R159" i="18" s="1"/>
  <c r="I183" i="18"/>
  <c r="J183" i="18" s="1"/>
  <c r="L183" i="18" s="1"/>
  <c r="N183" i="18" s="1"/>
  <c r="R183" i="18" s="1"/>
  <c r="I115" i="18"/>
  <c r="J115" i="18" s="1"/>
  <c r="L115" i="18" s="1"/>
  <c r="N115" i="18" s="1"/>
  <c r="R115" i="18" s="1"/>
  <c r="I130" i="18"/>
  <c r="J130" i="18" s="1"/>
  <c r="L130" i="18" s="1"/>
  <c r="N130" i="18" s="1"/>
  <c r="R130" i="18" s="1"/>
  <c r="I186" i="18"/>
  <c r="J186" i="18" s="1"/>
  <c r="L186" i="18" s="1"/>
  <c r="N186" i="18" s="1"/>
  <c r="R186" i="18" s="1"/>
  <c r="I176" i="18"/>
  <c r="J176" i="18" s="1"/>
  <c r="L176" i="18" s="1"/>
  <c r="N176" i="18" s="1"/>
  <c r="R176" i="18" s="1"/>
  <c r="I203" i="18"/>
  <c r="J203" i="18" s="1"/>
  <c r="L203" i="18" s="1"/>
  <c r="N203" i="18" s="1"/>
  <c r="R203" i="18" s="1"/>
  <c r="I73" i="18"/>
  <c r="J73" i="18" s="1"/>
  <c r="L73" i="18" s="1"/>
  <c r="N73" i="18" s="1"/>
  <c r="R73" i="18" s="1"/>
  <c r="I26" i="18"/>
  <c r="J26" i="18" s="1"/>
  <c r="L26" i="18" s="1"/>
  <c r="N26" i="18" s="1"/>
  <c r="R26" i="18" s="1"/>
  <c r="I53" i="18"/>
  <c r="J53" i="18" s="1"/>
  <c r="L53" i="18" s="1"/>
  <c r="N53" i="18" s="1"/>
  <c r="R53" i="18" s="1"/>
  <c r="I91" i="18"/>
  <c r="J91" i="18" s="1"/>
  <c r="L91" i="18" s="1"/>
  <c r="N91" i="18" s="1"/>
  <c r="R91" i="18" s="1"/>
  <c r="I129" i="18"/>
  <c r="J129" i="18" s="1"/>
  <c r="L129" i="18" s="1"/>
  <c r="N129" i="18" s="1"/>
  <c r="R129" i="18" s="1"/>
  <c r="I173" i="18"/>
  <c r="J173" i="18" s="1"/>
  <c r="L173" i="18" s="1"/>
  <c r="N173" i="18" s="1"/>
  <c r="R173" i="18" s="1"/>
  <c r="I97" i="18"/>
  <c r="J97" i="18" s="1"/>
  <c r="L97" i="18" s="1"/>
  <c r="N97" i="18" s="1"/>
  <c r="R97" i="18" s="1"/>
  <c r="I54" i="18"/>
  <c r="J54" i="18" s="1"/>
  <c r="L54" i="18" s="1"/>
  <c r="N54" i="18" s="1"/>
  <c r="R54" i="18" s="1"/>
  <c r="I147" i="18"/>
  <c r="J147" i="18" s="1"/>
  <c r="L147" i="18" s="1"/>
  <c r="N147" i="18" s="1"/>
  <c r="R147" i="18" s="1"/>
  <c r="I49" i="18"/>
  <c r="J49" i="18" s="1"/>
  <c r="L49" i="18" s="1"/>
  <c r="N49" i="18" s="1"/>
  <c r="R49" i="18" s="1"/>
  <c r="I168" i="18"/>
  <c r="J168" i="18" s="1"/>
  <c r="L168" i="18" s="1"/>
  <c r="N168" i="18" s="1"/>
  <c r="R168" i="18" s="1"/>
  <c r="I58" i="18"/>
  <c r="J58" i="18" s="1"/>
  <c r="L58" i="18" s="1"/>
  <c r="N58" i="18" s="1"/>
  <c r="R58" i="18" s="1"/>
  <c r="I98" i="18"/>
  <c r="J98" i="18" s="1"/>
  <c r="L98" i="18" s="1"/>
  <c r="N98" i="18" s="1"/>
  <c r="R98" i="18" s="1"/>
  <c r="I104" i="18"/>
  <c r="J104" i="18" s="1"/>
  <c r="L104" i="18" s="1"/>
  <c r="N104" i="18" s="1"/>
  <c r="R104" i="18" s="1"/>
  <c r="I39" i="18"/>
  <c r="J39" i="18" s="1"/>
  <c r="L39" i="18" s="1"/>
  <c r="N39" i="18" s="1"/>
  <c r="R39" i="18" s="1"/>
  <c r="I22" i="18"/>
  <c r="J22" i="18" s="1"/>
  <c r="L22" i="18" s="1"/>
  <c r="N22" i="18" s="1"/>
  <c r="R22" i="18" s="1"/>
  <c r="I109" i="18"/>
  <c r="J109" i="18" s="1"/>
  <c r="L109" i="18" s="1"/>
  <c r="N109" i="18" s="1"/>
  <c r="R109" i="18" s="1"/>
  <c r="I66" i="18"/>
  <c r="J66" i="18" s="1"/>
  <c r="L66" i="18" s="1"/>
  <c r="N66" i="18" s="1"/>
  <c r="R66" i="18" s="1"/>
  <c r="I63" i="18"/>
  <c r="J63" i="18" s="1"/>
  <c r="L63" i="18" s="1"/>
  <c r="N63" i="18" s="1"/>
  <c r="R63" i="18" s="1"/>
  <c r="F14" i="29"/>
  <c r="I46" i="18"/>
  <c r="J46" i="18" s="1"/>
  <c r="L46" i="18" s="1"/>
  <c r="N46" i="18" s="1"/>
  <c r="R46" i="18" s="1"/>
  <c r="I177" i="18"/>
  <c r="J177" i="18" s="1"/>
  <c r="L177" i="18" s="1"/>
  <c r="N177" i="18" s="1"/>
  <c r="R177" i="18" s="1"/>
  <c r="I158" i="18"/>
  <c r="J158" i="18" s="1"/>
  <c r="L158" i="18" s="1"/>
  <c r="N158" i="18" s="1"/>
  <c r="R158" i="18" s="1"/>
  <c r="I207" i="18"/>
  <c r="J207" i="18" s="1"/>
  <c r="L207" i="18" s="1"/>
  <c r="N207" i="18" s="1"/>
  <c r="R207" i="18" s="1"/>
  <c r="I70" i="18"/>
  <c r="J70" i="18" s="1"/>
  <c r="L70" i="18" s="1"/>
  <c r="N70" i="18" s="1"/>
  <c r="R70" i="18" s="1"/>
  <c r="I24" i="18"/>
  <c r="J24" i="18" s="1"/>
  <c r="L24" i="18" s="1"/>
  <c r="N24" i="18" s="1"/>
  <c r="R24" i="18" s="1"/>
  <c r="I96" i="18"/>
  <c r="J96" i="18" s="1"/>
  <c r="L96" i="18" s="1"/>
  <c r="N96" i="18" s="1"/>
  <c r="R96" i="18" s="1"/>
  <c r="I124" i="18"/>
  <c r="J124" i="18" s="1"/>
  <c r="L124" i="18" s="1"/>
  <c r="N124" i="18" s="1"/>
  <c r="R124" i="18" s="1"/>
  <c r="I125" i="18"/>
  <c r="J125" i="18" s="1"/>
  <c r="L125" i="18" s="1"/>
  <c r="N125" i="18" s="1"/>
  <c r="R125" i="18" s="1"/>
  <c r="I82" i="18"/>
  <c r="J82" i="18" s="1"/>
  <c r="L82" i="18" s="1"/>
  <c r="N82" i="18" s="1"/>
  <c r="R82" i="18" s="1"/>
  <c r="I103" i="18"/>
  <c r="J103" i="18" s="1"/>
  <c r="L103" i="18" s="1"/>
  <c r="N103" i="18" s="1"/>
  <c r="R103" i="18" s="1"/>
  <c r="I28" i="18"/>
  <c r="J28" i="18" s="1"/>
  <c r="L28" i="18" s="1"/>
  <c r="N28" i="18" s="1"/>
  <c r="R28" i="18" s="1"/>
  <c r="I92" i="18"/>
  <c r="J92" i="18" s="1"/>
  <c r="L92" i="18" s="1"/>
  <c r="N92" i="18" s="1"/>
  <c r="R92" i="18" s="1"/>
  <c r="I131" i="18"/>
  <c r="J131" i="18" s="1"/>
  <c r="L131" i="18" s="1"/>
  <c r="N131" i="18" s="1"/>
  <c r="R131" i="18" s="1"/>
  <c r="I136" i="18"/>
  <c r="J136" i="18" s="1"/>
  <c r="L136" i="18" s="1"/>
  <c r="N136" i="18" s="1"/>
  <c r="R136" i="18" s="1"/>
  <c r="I65" i="18"/>
  <c r="J65" i="18" s="1"/>
  <c r="L65" i="18" s="1"/>
  <c r="N65" i="18" s="1"/>
  <c r="R65" i="18" s="1"/>
  <c r="I122" i="18"/>
  <c r="J122" i="18" s="1"/>
  <c r="L122" i="18" s="1"/>
  <c r="N122" i="18" s="1"/>
  <c r="R122" i="18" s="1"/>
  <c r="I184" i="18"/>
  <c r="J184" i="18" s="1"/>
  <c r="L184" i="18" s="1"/>
  <c r="N184" i="18" s="1"/>
  <c r="R184" i="18" s="1"/>
  <c r="I87" i="18"/>
  <c r="J87" i="18" s="1"/>
  <c r="L87" i="18" s="1"/>
  <c r="N87" i="18" s="1"/>
  <c r="R87" i="18" s="1"/>
  <c r="I31" i="18"/>
  <c r="J31" i="18" s="1"/>
  <c r="L31" i="18" s="1"/>
  <c r="N31" i="18" s="1"/>
  <c r="R31" i="18" s="1"/>
  <c r="I167" i="18"/>
  <c r="J167" i="18" s="1"/>
  <c r="L167" i="18" s="1"/>
  <c r="N167" i="18" s="1"/>
  <c r="R167" i="18" s="1"/>
  <c r="I56" i="18"/>
  <c r="J56" i="18" s="1"/>
  <c r="I128" i="18"/>
  <c r="J128" i="18" s="1"/>
  <c r="L128" i="18" s="1"/>
  <c r="N128" i="18" s="1"/>
  <c r="R128" i="18" s="1"/>
  <c r="I40" i="18"/>
  <c r="J40" i="18" s="1"/>
  <c r="L40" i="18" s="1"/>
  <c r="N40" i="18" s="1"/>
  <c r="R40" i="18" s="1"/>
  <c r="I182" i="18"/>
  <c r="J182" i="18" s="1"/>
  <c r="L182" i="18" s="1"/>
  <c r="N182" i="18" s="1"/>
  <c r="R182" i="18" s="1"/>
  <c r="I61" i="18"/>
  <c r="J61" i="18" s="1"/>
  <c r="L61" i="18" s="1"/>
  <c r="N61" i="18" s="1"/>
  <c r="R61" i="18" s="1"/>
  <c r="I150" i="18"/>
  <c r="J150" i="18" s="1"/>
  <c r="L150" i="18" s="1"/>
  <c r="N150" i="18" s="1"/>
  <c r="R150" i="18" s="1"/>
  <c r="I114" i="18"/>
  <c r="J114" i="18" s="1"/>
  <c r="L114" i="18" s="1"/>
  <c r="N114" i="18" s="1"/>
  <c r="R114" i="18" s="1"/>
  <c r="I164" i="18"/>
  <c r="J164" i="18" s="1"/>
  <c r="L164" i="18" s="1"/>
  <c r="N164" i="18" s="1"/>
  <c r="R164" i="18" s="1"/>
  <c r="I83" i="18"/>
  <c r="J83" i="18" s="1"/>
  <c r="L83" i="18" s="1"/>
  <c r="N83" i="18" s="1"/>
  <c r="R83" i="18" s="1"/>
  <c r="I153" i="18"/>
  <c r="J153" i="18" s="1"/>
  <c r="L153" i="18" s="1"/>
  <c r="N153" i="18" s="1"/>
  <c r="R153" i="18" s="1"/>
  <c r="I148" i="18"/>
  <c r="J148" i="18" s="1"/>
  <c r="L148" i="18" s="1"/>
  <c r="N148" i="18" s="1"/>
  <c r="R148" i="18" s="1"/>
  <c r="I199" i="18"/>
  <c r="J199" i="18" s="1"/>
  <c r="L199" i="18" s="1"/>
  <c r="N199" i="18" s="1"/>
  <c r="R199" i="18" s="1"/>
  <c r="I160" i="18"/>
  <c r="J160" i="18" s="1"/>
  <c r="L160" i="18" s="1"/>
  <c r="N160" i="18" s="1"/>
  <c r="R160" i="18" s="1"/>
  <c r="I81" i="18"/>
  <c r="J81" i="18" s="1"/>
  <c r="L81" i="18" s="1"/>
  <c r="N81" i="18" s="1"/>
  <c r="R81" i="18" s="1"/>
  <c r="I62" i="18"/>
  <c r="J62" i="18" s="1"/>
  <c r="L62" i="18" s="1"/>
  <c r="N62" i="18" s="1"/>
  <c r="R62" i="18" s="1"/>
  <c r="I55" i="18"/>
  <c r="J55" i="18" s="1"/>
  <c r="L55" i="18" s="1"/>
  <c r="N55" i="18" s="1"/>
  <c r="R55" i="18" s="1"/>
  <c r="I202" i="18"/>
  <c r="J202" i="18" s="1"/>
  <c r="L202" i="18" s="1"/>
  <c r="N202" i="18" s="1"/>
  <c r="R202" i="18" s="1"/>
  <c r="I64" i="18"/>
  <c r="J64" i="18" s="1"/>
  <c r="L64" i="18" s="1"/>
  <c r="N64" i="18" s="1"/>
  <c r="R64" i="18" s="1"/>
  <c r="I132" i="18"/>
  <c r="J132" i="18" s="1"/>
  <c r="L132" i="18" s="1"/>
  <c r="N132" i="18" s="1"/>
  <c r="R132" i="18" s="1"/>
  <c r="I112" i="18"/>
  <c r="J112" i="18" s="1"/>
  <c r="L112" i="18" s="1"/>
  <c r="N112" i="18" s="1"/>
  <c r="R112" i="18" s="1"/>
  <c r="I95" i="18"/>
  <c r="J95" i="18" s="1"/>
  <c r="L95" i="18" s="1"/>
  <c r="N95" i="18" s="1"/>
  <c r="R95" i="18" s="1"/>
  <c r="I140" i="18"/>
  <c r="J140" i="18" s="1"/>
  <c r="L140" i="18" s="1"/>
  <c r="N140" i="18" s="1"/>
  <c r="R140" i="18" s="1"/>
  <c r="I197" i="18"/>
  <c r="J197" i="18" s="1"/>
  <c r="L197" i="18" s="1"/>
  <c r="N197" i="18" s="1"/>
  <c r="R197" i="18" s="1"/>
  <c r="I108" i="18"/>
  <c r="J108" i="18" s="1"/>
  <c r="L108" i="18" s="1"/>
  <c r="N108" i="18" s="1"/>
  <c r="R108" i="18" s="1"/>
  <c r="I38" i="18"/>
  <c r="J38" i="18" s="1"/>
  <c r="L38" i="18" s="1"/>
  <c r="N38" i="18" s="1"/>
  <c r="R38" i="18" s="1"/>
  <c r="I69" i="18"/>
  <c r="J69" i="18" s="1"/>
  <c r="L69" i="18" s="1"/>
  <c r="N69" i="18" s="1"/>
  <c r="R69" i="18" s="1"/>
  <c r="I166" i="18"/>
  <c r="J166" i="18" s="1"/>
  <c r="L166" i="18" s="1"/>
  <c r="N166" i="18" s="1"/>
  <c r="R166" i="18" s="1"/>
  <c r="I101" i="18"/>
  <c r="J101" i="18" s="1"/>
  <c r="L101" i="18" s="1"/>
  <c r="N101" i="18" s="1"/>
  <c r="R101" i="18" s="1"/>
  <c r="I86" i="18"/>
  <c r="J86" i="18" s="1"/>
  <c r="L86" i="18" s="1"/>
  <c r="N86" i="18" s="1"/>
  <c r="R86" i="18" s="1"/>
  <c r="I48" i="18"/>
  <c r="J48" i="18" s="1"/>
  <c r="L48" i="18" s="1"/>
  <c r="N48" i="18" s="1"/>
  <c r="R48" i="18" s="1"/>
  <c r="I85" i="18"/>
  <c r="J85" i="18" s="1"/>
  <c r="L85" i="18" s="1"/>
  <c r="N85" i="18" s="1"/>
  <c r="R85" i="18" s="1"/>
  <c r="I29" i="18"/>
  <c r="J29" i="18" s="1"/>
  <c r="L29" i="18" s="1"/>
  <c r="N29" i="18" s="1"/>
  <c r="R29" i="18" s="1"/>
  <c r="I50" i="18"/>
  <c r="J50" i="18" s="1"/>
  <c r="L50" i="18" s="1"/>
  <c r="N50" i="18" s="1"/>
  <c r="R50" i="18" s="1"/>
  <c r="I44" i="18"/>
  <c r="J44" i="18" s="1"/>
  <c r="L44" i="18" s="1"/>
  <c r="N44" i="18" s="1"/>
  <c r="R44" i="18" s="1"/>
  <c r="I156" i="18"/>
  <c r="J156" i="18" s="1"/>
  <c r="L156" i="18" s="1"/>
  <c r="N156" i="18" s="1"/>
  <c r="R156" i="18" s="1"/>
  <c r="I68" i="18"/>
  <c r="J68" i="18" s="1"/>
  <c r="L68" i="18" s="1"/>
  <c r="N68" i="18" s="1"/>
  <c r="R68" i="18" s="1"/>
  <c r="J13" i="18" l="1"/>
  <c r="L56" i="18"/>
  <c r="J212" i="18"/>
  <c r="J14" i="18"/>
  <c r="L20" i="18"/>
  <c r="N56" i="18" l="1"/>
  <c r="L13" i="18"/>
  <c r="L14" i="18"/>
  <c r="L212" i="18"/>
  <c r="N20" i="18"/>
  <c r="R20" i="18" l="1"/>
  <c r="N14" i="18"/>
  <c r="R56" i="18"/>
  <c r="R13" i="18" s="1"/>
  <c r="N13" i="18"/>
  <c r="R14" i="18" l="1"/>
  <c r="R212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<sst xmlns="http://schemas.openxmlformats.org/spreadsheetml/2006/main" count="421" uniqueCount="105">
  <si>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</si>
  <si>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</si>
  <si>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</si>
  <si>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</si>
  <si>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</si>
  <si>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</si>
  <si>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</si>
  <si>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</si>
  <si>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</si>
  <si>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</si>
  <si>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</si>
  <si>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</si>
  <si>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</si>
  <si>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</si>
  <si>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</si>
  <si>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</si>
  <si>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</si>
  <si>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</si>
  <si>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</si>
  <si>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</si>
  <si>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</si>
  <si>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</si>
  <si>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</si>
  <si>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</si>
  <si>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</si>
  <si>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</si>
  <si>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</si>
  <si>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</si>
  <si>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</si>
  <si>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</si>
  <si>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</si>
  <si>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</si>
  <si>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</si>
  <si>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</si>
  <si>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</si>
  <si>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</si>
  <si>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</si>
  <si>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</si>
  <si>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</si>
  <si>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</si>
  <si>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</si>
  <si>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</si>
  <si>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</si>
  <si>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</si>
  <si>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</si>
  <si>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</si>
  <si>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</si>
  <si>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</si>
  <si>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</si>
  <si>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</si>
  <si>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</si>
  <si>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</si>
  <si>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</si>
  <si>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</si>
  <si>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</si>
  <si>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</si>
  <si>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</si>
  <si>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</si>
  <si>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</si>
  <si>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</si>
  <si>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</si>
  <si>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</si>
  <si>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</si>
  <si>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</si>
  <si>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</si>
  <si>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</si>
  <si>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</si>
  <si>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</si>
  <si>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</si>
  <si>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</si>
  <si>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</si>
  <si>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</si>
  <si>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</si>
  <si>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</si>
  <si>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</si>
  <si>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</si>
  <si>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</si>
  <si>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</si>
  <si>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</si>
  <si>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</si>
  <si>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</si>
  <si>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</si>
  <si>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</si>
  <si>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</si>
  <si>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</si>
  <si>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</si>
  <si>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</si>
  <si>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</si>
  <si>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</si>
  <si>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</si>
  <si>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</si>
  <si>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</si>
  <si>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</si>
  <si>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</si>
  <si>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</si>
  <si>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</si>
  <si>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AEPTCo Formula Rate -- FERC Docket ER18-195</t>
  </si>
  <si>
    <t>Network Customer True-Up (Schedule 1 charges)</t>
  </si>
  <si>
    <t>2020 True Up Including Interest</t>
  </si>
  <si>
    <r>
      <t>2020 True-Up
(</t>
    </r>
    <r>
      <rPr>
        <sz val="10"/>
        <rFont val="Arial"/>
        <family val="2"/>
      </rPr>
      <t>w/o Interest)</t>
    </r>
  </si>
  <si>
    <t>2020 Interest</t>
  </si>
  <si>
    <t>Total 2020
True-Up Surcharge / (Refund)</t>
  </si>
  <si>
    <t>2019 Tax True Up</t>
  </si>
  <si>
    <t>2017 ROE Refund</t>
  </si>
  <si>
    <t>Total NITS Surcharge / Refun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</si>
</sst>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4" fontId="4" fillId="0" borderId="0" xfId="0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23" xfId="0" quotePrefix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167" fontId="7" fillId="6" borderId="25" xfId="0" applyNumberFormat="1" applyFont="1" applyFill="1" applyBorder="1" applyAlignment="1" applyProtection="1">
      <alignment horizontal="center"/>
    </xf>
    <xf numFmtId="166" fontId="25" fillId="0" borderId="43" xfId="0" applyNumberFormat="1" applyFont="1" applyBorder="1" applyProtection="1"/>
    <xf numFmtId="166" fontId="25" fillId="0" borderId="0" xfId="0" applyNumberFormat="1" applyFont="1" applyProtection="1"/>
    <xf numFmtId="166" fontId="25" fillId="0" borderId="44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41" xfId="0" applyNumberFormat="1" applyFont="1" applyBorder="1" applyProtection="1"/>
    <xf numFmtId="166" fontId="25" fillId="0" borderId="42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4340.708036458331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0-12-02T00:00:00" count="132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0-02-05T00:00:00" maxDate="2021-01-07T00:00:00"/>
    </cacheField>
    <cacheField name="Payment Received*" numFmtId="14">
      <sharedItems containsSemiMixedTypes="0" containsNonDate="0" containsDate="1" containsString="0" minDate="2020-02-24T00:00:00" maxDate="2021-01-26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3873"/>
    </cacheField>
    <cacheField name="Projected Rate (as Invoiced)" numFmtId="164">
      <sharedItems containsSemiMixedTypes="0" containsString="0" containsNumber="1" minValue="8.6960185985294221" maxValue="8.6960185985294221"/>
    </cacheField>
    <cacheField name="Actual True-Up Rate" numFmtId="164">
      <sharedItems containsSemiMixedTypes="0" containsString="0" containsNumber="1" minValue="6.3097767616586076" maxValue="6.3097767616586076"/>
    </cacheField>
    <cacheField name="True-Up Charge" numFmtId="164">
      <sharedItems containsSemiMixedTypes="0" containsString="0" containsNumber="1" minValue="6.3097767616586076" maxValue="24437.765397903786"/>
    </cacheField>
    <cacheField name="Invoiced*** Charge (proj.)" numFmtId="164">
      <sharedItems containsSemiMixedTypes="0" containsString="0" containsNumber="1" minValue="8.6960185985294221" maxValue="33679.68003210445"/>
    </cacheField>
    <cacheField name="True-Up w/o Interest" numFmtId="164">
      <sharedItems containsSemiMixedTypes="0" containsString="0" containsNumber="1" minValue="-9241.9146342006643" maxValue="-2.3862418368708145"/>
    </cacheField>
    <cacheField name="Interest" numFmtId="164">
      <sharedItems containsSemiMixedTypes="0" containsString="0" containsNumber="1" minValue="-311.62481172779781" maxValue="-8.0460834424941341E-2"/>
    </cacheField>
    <cacheField name="2020 True Up Including Interest" numFmtId="164">
      <sharedItems containsSemiMixedTypes="0" containsString="0" containsNumber="1" minValue="-9553.5394459284616" maxValue="-2.4667026712957556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9553.5394459284616" maxValue="-2.46670267129575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20-02-05T00:00:00"/>
    <d v="2020-02-24T00:00:00"/>
    <x v="0"/>
    <n v="9"/>
    <n v="2580"/>
    <n v="8.6960185985294221"/>
    <n v="6.3097767616586076"/>
    <n v="16279.224045079207"/>
    <n v="22435.727984205911"/>
    <n v="-6156.5039391267037"/>
    <n v="-207.58895281634867"/>
    <n v="-6364.0928919430526"/>
    <n v="0"/>
    <n v="0"/>
    <n v="0"/>
    <n v="-6364.0928919430526"/>
  </r>
  <r>
    <x v="1"/>
    <d v="2020-03-04T00:00:00"/>
    <d v="2020-03-24T00:00:00"/>
    <x v="0"/>
    <n v="9"/>
    <n v="2548"/>
    <n v="8.6960185985294221"/>
    <n v="6.3097767616586076"/>
    <n v="16077.311188706131"/>
    <n v="22157.455389052968"/>
    <n v="-6080.1442003468364"/>
    <n v="-205.01420611475052"/>
    <n v="-6285.1584064615872"/>
    <n v="0"/>
    <n v="0"/>
    <n v="0"/>
    <n v="-6285.1584064615872"/>
  </r>
  <r>
    <x v="2"/>
    <d v="2020-04-03T00:00:00"/>
    <d v="2020-04-24T00:00:00"/>
    <x v="0"/>
    <n v="9"/>
    <n v="2505"/>
    <n v="8.6960185985294221"/>
    <n v="6.3097767616586076"/>
    <n v="15805.990787954812"/>
    <n v="21783.526589316203"/>
    <n v="-5977.5358013613913"/>
    <n v="-201.55439023447806"/>
    <n v="-6179.0901915958693"/>
    <n v="0"/>
    <n v="0"/>
    <n v="0"/>
    <n v="-6179.0901915958693"/>
  </r>
  <r>
    <x v="3"/>
    <d v="2020-05-05T00:00:00"/>
    <d v="2020-05-25T00:00:00"/>
    <x v="0"/>
    <n v="9"/>
    <n v="2636"/>
    <n v="8.6960185985294221"/>
    <n v="6.3097767616586076"/>
    <n v="16632.571543732091"/>
    <n v="22922.705025723557"/>
    <n v="-6290.1334819914664"/>
    <n v="-212.09475954414538"/>
    <n v="-6502.2282415356121"/>
    <n v="0"/>
    <n v="0"/>
    <n v="0"/>
    <n v="-6502.2282415356121"/>
  </r>
  <r>
    <x v="4"/>
    <d v="2020-06-03T00:00:00"/>
    <d v="2020-06-24T00:00:00"/>
    <x v="0"/>
    <n v="9"/>
    <n v="2911"/>
    <n v="8.6960185985294221"/>
    <n v="6.3097767616586076"/>
    <n v="18367.760153188206"/>
    <n v="25314.110140319146"/>
    <n v="-6946.3499871309396"/>
    <n v="-234.22148901100425"/>
    <n v="-7180.571476141944"/>
    <n v="0"/>
    <n v="0"/>
    <n v="0"/>
    <n v="-7180.571476141944"/>
  </r>
  <r>
    <x v="5"/>
    <d v="2020-07-03T00:00:00"/>
    <d v="2020-07-24T00:00:00"/>
    <x v="0"/>
    <n v="9"/>
    <n v="3504"/>
    <n v="8.6960185985294221"/>
    <n v="6.3097767616586076"/>
    <n v="22109.457772851762"/>
    <n v="30470.849169247096"/>
    <n v="-8361.3913963953346"/>
    <n v="-281.93476382499443"/>
    <n v="-8643.3261602203293"/>
    <n v="0"/>
    <n v="0"/>
    <n v="0"/>
    <n v="-8643.3261602203293"/>
  </r>
  <r>
    <x v="6"/>
    <d v="2020-08-05T00:00:00"/>
    <d v="2020-08-24T00:00:00"/>
    <x v="0"/>
    <n v="9"/>
    <n v="3724"/>
    <n v="8.6960185985294221"/>
    <n v="6.3097767616586076"/>
    <n v="23497.608660416656"/>
    <n v="32383.973260923569"/>
    <n v="-8886.3646005069131"/>
    <n v="-299.63614739848151"/>
    <n v="-9186.0007479053947"/>
    <n v="0"/>
    <n v="0"/>
    <n v="0"/>
    <n v="-9186.0007479053947"/>
  </r>
  <r>
    <x v="7"/>
    <d v="2020-09-03T00:00:00"/>
    <d v="2020-09-24T00:00:00"/>
    <x v="0"/>
    <n v="9"/>
    <n v="3873"/>
    <n v="8.6960185985294221"/>
    <n v="6.3097767616586076"/>
    <n v="24437.765397903786"/>
    <n v="33679.68003210445"/>
    <n v="-9241.9146342006643"/>
    <n v="-311.62481172779781"/>
    <n v="-9553.5394459284616"/>
    <n v="0"/>
    <n v="0"/>
    <n v="0"/>
    <n v="-9553.5394459284616"/>
  </r>
  <r>
    <x v="8"/>
    <d v="2020-10-05T00:00:00"/>
    <d v="2020-10-26T00:00:00"/>
    <x v="0"/>
    <n v="9"/>
    <n v="3349"/>
    <n v="8.6960185985294221"/>
    <n v="6.3097767616586076"/>
    <n v="21131.442374794678"/>
    <n v="29122.966286475035"/>
    <n v="-7991.5239116803568"/>
    <n v="-269.46333448912856"/>
    <n v="-8260.9872461694849"/>
    <n v="0"/>
    <n v="0"/>
    <n v="0"/>
    <n v="-8260.9872461694849"/>
  </r>
  <r>
    <x v="9"/>
    <d v="2020-11-04T00:00:00"/>
    <d v="2020-11-24T00:00:00"/>
    <x v="0"/>
    <n v="9"/>
    <n v="2789"/>
    <n v="8.6960185985294221"/>
    <n v="6.3097767616586076"/>
    <n v="17597.967388265857"/>
    <n v="24253.195871298558"/>
    <n v="-6655.2284830327008"/>
    <n v="-224.4052672111614"/>
    <n v="-6879.6337502438619"/>
    <n v="0"/>
    <n v="0"/>
    <n v="0"/>
    <n v="-6879.6337502438619"/>
  </r>
  <r>
    <x v="10"/>
    <d v="2020-12-03T00:00:00"/>
    <d v="2020-12-24T00:00:00"/>
    <x v="0"/>
    <n v="9"/>
    <n v="2382"/>
    <n v="8.6960185985294221"/>
    <n v="6.3097767616586076"/>
    <n v="15029.888246270802"/>
    <n v="20713.916301697082"/>
    <n v="-5684.028055426279"/>
    <n v="-191.65770760021027"/>
    <n v="-5875.6857630264894"/>
    <n v="0"/>
    <n v="0"/>
    <n v="0"/>
    <n v="-5875.6857630264894"/>
  </r>
  <r>
    <x v="11"/>
    <d v="2021-01-06T00:00:00"/>
    <d v="2021-01-25T00:00:00"/>
    <x v="0"/>
    <n v="9"/>
    <n v="2513"/>
    <n v="8.6960185985294221"/>
    <n v="6.3097767616586076"/>
    <n v="15856.469002048081"/>
    <n v="21853.094738104439"/>
    <n v="-5996.6257360563577"/>
    <n v="-202.19807690987759"/>
    <n v="-6198.823812966235"/>
    <n v="0"/>
    <n v="0"/>
    <n v="0"/>
    <n v="-6198.823812966235"/>
  </r>
  <r>
    <x v="0"/>
    <d v="2020-02-05T00:00:00"/>
    <d v="2020-02-24T00:00:00"/>
    <x v="1"/>
    <n v="9"/>
    <n v="2664"/>
    <n v="8.6960185985294221"/>
    <n v="6.3097767616586076"/>
    <n v="16809.245293058531"/>
    <n v="23166.19354648238"/>
    <n v="-6356.9482534238487"/>
    <n v="-214.34766290804373"/>
    <n v="-6571.2959163318919"/>
    <n v="0"/>
    <n v="0"/>
    <n v="0"/>
    <n v="-6571.2959163318919"/>
  </r>
  <r>
    <x v="1"/>
    <d v="2020-03-04T00:00:00"/>
    <d v="2020-03-24T00:00:00"/>
    <x v="1"/>
    <n v="9"/>
    <n v="2798"/>
    <n v="8.6960185985294221"/>
    <n v="6.3097767616586076"/>
    <n v="17654.755379120783"/>
    <n v="24331.460038685324"/>
    <n v="-6676.7046595645406"/>
    <n v="-225.12941472098586"/>
    <n v="-6901.8340742855262"/>
    <n v="0"/>
    <n v="0"/>
    <n v="0"/>
    <n v="-6901.8340742855262"/>
  </r>
  <r>
    <x v="2"/>
    <d v="2020-04-03T00:00:00"/>
    <d v="2020-04-24T00:00:00"/>
    <x v="1"/>
    <n v="9"/>
    <n v="2422"/>
    <n v="8.6960185985294221"/>
    <n v="6.3097767616586076"/>
    <n v="15282.279316737147"/>
    <n v="21061.75704563826"/>
    <n v="-5779.4777289011126"/>
    <n v="-194.87614097720791"/>
    <n v="-5974.3538698783204"/>
    <n v="0"/>
    <n v="0"/>
    <n v="0"/>
    <n v="-5974.3538698783204"/>
  </r>
  <r>
    <x v="3"/>
    <d v="2020-05-05T00:00:00"/>
    <d v="2020-05-25T00:00:00"/>
    <x v="1"/>
    <n v="9"/>
    <n v="2569"/>
    <n v="8.6960185985294221"/>
    <n v="6.3097767616586076"/>
    <n v="16209.816500700963"/>
    <n v="22340.071779622085"/>
    <n v="-6130.2552789211222"/>
    <n v="-206.70388363767429"/>
    <n v="-6336.9591625587964"/>
    <n v="0"/>
    <n v="0"/>
    <n v="0"/>
    <n v="-6336.9591625587964"/>
  </r>
  <r>
    <x v="4"/>
    <d v="2020-06-03T00:00:00"/>
    <d v="2020-06-24T00:00:00"/>
    <x v="1"/>
    <n v="9"/>
    <n v="2598"/>
    <n v="8.6960185985294221"/>
    <n v="6.3097767616586076"/>
    <n v="16392.800026789064"/>
    <n v="22592.256318979438"/>
    <n v="-6199.4562921903744"/>
    <n v="-209.03724783599759"/>
    <n v="-6408.4935400263721"/>
    <n v="0"/>
    <n v="0"/>
    <n v="0"/>
    <n v="-6408.4935400263721"/>
  </r>
  <r>
    <x v="5"/>
    <d v="2020-07-03T00:00:00"/>
    <d v="2020-07-24T00:00:00"/>
    <x v="1"/>
    <n v="9"/>
    <n v="3167"/>
    <n v="8.6960185985294221"/>
    <n v="6.3097767616586076"/>
    <n v="19983.063004172811"/>
    <n v="27540.290901542681"/>
    <n v="-7557.2278973698703"/>
    <n v="-254.81946262378924"/>
    <n v="-7812.0473599936595"/>
    <n v="0"/>
    <n v="0"/>
    <n v="0"/>
    <n v="-7812.0473599936595"/>
  </r>
  <r>
    <x v="6"/>
    <d v="2020-08-05T00:00:00"/>
    <d v="2020-08-24T00:00:00"/>
    <x v="1"/>
    <n v="9"/>
    <n v="3376"/>
    <n v="8.6960185985294221"/>
    <n v="6.3097767616586076"/>
    <n v="21301.806347359459"/>
    <n v="29357.758788635329"/>
    <n v="-8055.9524412758692"/>
    <n v="-271.63577701860197"/>
    <n v="-8327.5882182944715"/>
    <n v="0"/>
    <n v="0"/>
    <n v="0"/>
    <n v="-8327.5882182944715"/>
  </r>
  <r>
    <x v="7"/>
    <d v="2020-09-03T00:00:00"/>
    <d v="2020-09-24T00:00:00"/>
    <x v="1"/>
    <n v="9"/>
    <n v="3459"/>
    <n v="8.6960185985294221"/>
    <n v="6.3097767616586076"/>
    <n v="21825.517818577122"/>
    <n v="30079.528332313272"/>
    <n v="-8254.0105137361497"/>
    <n v="-278.3140262758721"/>
    <n v="-8532.3245400120213"/>
    <n v="0"/>
    <n v="0"/>
    <n v="0"/>
    <n v="-8532.3245400120213"/>
  </r>
  <r>
    <x v="8"/>
    <d v="2020-10-05T00:00:00"/>
    <d v="2020-10-26T00:00:00"/>
    <x v="1"/>
    <n v="9"/>
    <n v="3173"/>
    <n v="8.6960185985294221"/>
    <n v="6.3097767616586076"/>
    <n v="20020.92166474276"/>
    <n v="27592.467013133857"/>
    <n v="-7571.5453483910969"/>
    <n v="-255.30222763033888"/>
    <n v="-7826.847576021436"/>
    <n v="0"/>
    <n v="0"/>
    <n v="0"/>
    <n v="-7826.847576021436"/>
  </r>
  <r>
    <x v="9"/>
    <d v="2020-11-04T00:00:00"/>
    <d v="2020-11-24T00:00:00"/>
    <x v="1"/>
    <n v="9"/>
    <n v="2561"/>
    <n v="8.6960185985294221"/>
    <n v="6.3097767616586076"/>
    <n v="16159.338286607694"/>
    <n v="22270.503630833849"/>
    <n v="-6111.1653442261559"/>
    <n v="-206.06019696227477"/>
    <n v="-6317.2255411884307"/>
    <n v="0"/>
    <n v="0"/>
    <n v="0"/>
    <n v="-6317.2255411884307"/>
  </r>
  <r>
    <x v="10"/>
    <d v="2020-12-03T00:00:00"/>
    <d v="2020-12-24T00:00:00"/>
    <x v="1"/>
    <n v="9"/>
    <n v="2357"/>
    <n v="8.6960185985294221"/>
    <n v="6.3097767616586076"/>
    <n v="14872.143827229338"/>
    <n v="20496.515836733848"/>
    <n v="-5624.3720095045101"/>
    <n v="-189.64618673958674"/>
    <n v="-5814.0181962440965"/>
    <n v="0"/>
    <n v="0"/>
    <n v="0"/>
    <n v="-5814.0181962440965"/>
  </r>
  <r>
    <x v="11"/>
    <d v="2021-01-06T00:00:00"/>
    <d v="2021-01-25T00:00:00"/>
    <x v="1"/>
    <n v="9"/>
    <n v="2731"/>
    <n v="8.6960185985294221"/>
    <n v="6.3097767616586076"/>
    <n v="17232.000336089659"/>
    <n v="23748.826792583852"/>
    <n v="-6516.8264564941928"/>
    <n v="-219.73853881451478"/>
    <n v="-6736.5649953087077"/>
    <n v="0"/>
    <n v="0"/>
    <n v="0"/>
    <n v="-6736.5649953087077"/>
  </r>
  <r>
    <x v="0"/>
    <d v="2020-02-05T00:00:00"/>
    <d v="2020-02-24T00:00:00"/>
    <x v="2"/>
    <n v="9"/>
    <n v="145"/>
    <n v="8.6960185985294221"/>
    <n v="6.3097767616586076"/>
    <n v="914.9176304404981"/>
    <n v="1260.9226967867662"/>
    <n v="-346.00506634626811"/>
    <n v="-11.666820991616493"/>
    <n v="-357.67188733788458"/>
    <n v="0"/>
    <n v="0"/>
    <n v="0"/>
    <n v="-357.67188733788458"/>
  </r>
  <r>
    <x v="1"/>
    <d v="2020-03-04T00:00:00"/>
    <d v="2020-03-24T00:00:00"/>
    <x v="2"/>
    <n v="9"/>
    <n v="146"/>
    <n v="8.6960185985294221"/>
    <n v="6.3097767616586076"/>
    <n v="921.22740720215666"/>
    <n v="1269.6187153852957"/>
    <n v="-348.39130818313902"/>
    <n v="-11.747281826041435"/>
    <n v="-360.13859000918046"/>
    <n v="0"/>
    <n v="0"/>
    <n v="0"/>
    <n v="-360.13859000918046"/>
  </r>
  <r>
    <x v="2"/>
    <d v="2020-04-03T00:00:00"/>
    <d v="2020-04-24T00:00:00"/>
    <x v="2"/>
    <n v="9"/>
    <n v="97"/>
    <n v="8.6960185985294221"/>
    <n v="6.3097767616586076"/>
    <n v="612.04834588088488"/>
    <n v="843.51380405735392"/>
    <n v="-231.46545817646904"/>
    <n v="-7.804700939219309"/>
    <n v="-239.27015911568836"/>
    <n v="0"/>
    <n v="0"/>
    <n v="0"/>
    <n v="-239.27015911568836"/>
  </r>
  <r>
    <x v="3"/>
    <d v="2020-05-05T00:00:00"/>
    <d v="2020-05-25T00:00:00"/>
    <x v="2"/>
    <n v="9"/>
    <n v="94"/>
    <n v="8.6960185985294221"/>
    <n v="6.3097767616586076"/>
    <n v="593.1190155959091"/>
    <n v="817.42574826176565"/>
    <n v="-224.30673266585654"/>
    <n v="-7.5633184359444865"/>
    <n v="-231.87005110180104"/>
    <n v="0"/>
    <n v="0"/>
    <n v="0"/>
    <n v="-231.87005110180104"/>
  </r>
  <r>
    <x v="4"/>
    <d v="2020-06-03T00:00:00"/>
    <d v="2020-06-24T00:00:00"/>
    <x v="2"/>
    <n v="9"/>
    <n v="106"/>
    <n v="8.6960185985294221"/>
    <n v="6.3097767616586076"/>
    <n v="668.83633673581244"/>
    <n v="921.77797144411875"/>
    <n v="-252.94163470830631"/>
    <n v="-8.5288484490437817"/>
    <n v="-261.47048315735009"/>
    <n v="0"/>
    <n v="0"/>
    <n v="0"/>
    <n v="-261.47048315735009"/>
  </r>
  <r>
    <x v="5"/>
    <d v="2020-07-03T00:00:00"/>
    <d v="2020-07-24T00:00:00"/>
    <x v="2"/>
    <n v="9"/>
    <n v="132"/>
    <n v="8.6960185985294221"/>
    <n v="6.3097767616586076"/>
    <n v="832.89053253893621"/>
    <n v="1147.8744550058836"/>
    <n v="-314.98392246694743"/>
    <n v="-10.620830144092256"/>
    <n v="-325.60475261103971"/>
    <n v="0"/>
    <n v="0"/>
    <n v="0"/>
    <n v="-325.60475261103971"/>
  </r>
  <r>
    <x v="6"/>
    <d v="2020-08-05T00:00:00"/>
    <d v="2020-08-24T00:00:00"/>
    <x v="2"/>
    <n v="9"/>
    <n v="139"/>
    <n v="8.6960185985294221"/>
    <n v="6.3097767616586076"/>
    <n v="877.05896987054643"/>
    <n v="1208.7465851955897"/>
    <n v="-331.68761532504323"/>
    <n v="-11.184055985066845"/>
    <n v="-342.87167131011006"/>
    <n v="0"/>
    <n v="0"/>
    <n v="0"/>
    <n v="-342.87167131011006"/>
  </r>
  <r>
    <x v="7"/>
    <d v="2020-09-03T00:00:00"/>
    <d v="2020-09-24T00:00:00"/>
    <x v="2"/>
    <n v="9"/>
    <n v="136"/>
    <n v="8.6960185985294221"/>
    <n v="6.3097767616586076"/>
    <n v="858.12963958557066"/>
    <n v="1182.6585294000015"/>
    <n v="-324.52888981443084"/>
    <n v="-10.942673481792022"/>
    <n v="-335.47156329622288"/>
    <n v="0"/>
    <n v="0"/>
    <n v="0"/>
    <n v="-335.47156329622288"/>
  </r>
  <r>
    <x v="8"/>
    <d v="2020-10-05T00:00:00"/>
    <d v="2020-10-26T00:00:00"/>
    <x v="2"/>
    <n v="9"/>
    <n v="116"/>
    <n v="8.6960185985294221"/>
    <n v="6.3097767616586076"/>
    <n v="731.93410435239844"/>
    <n v="1008.7381574294129"/>
    <n v="-276.80405307701449"/>
    <n v="-9.3334567932931947"/>
    <n v="-286.13750987030767"/>
    <n v="0"/>
    <n v="0"/>
    <n v="0"/>
    <n v="-286.13750987030767"/>
  </r>
  <r>
    <x v="9"/>
    <d v="2020-11-04T00:00:00"/>
    <d v="2020-11-24T00:00:00"/>
    <x v="2"/>
    <n v="9"/>
    <n v="78"/>
    <n v="8.6960185985294221"/>
    <n v="6.3097767616586076"/>
    <n v="492.16258740937138"/>
    <n v="678.28945068529492"/>
    <n v="-186.12686327592354"/>
    <n v="-6.2759450851454242"/>
    <n v="-192.40280836106896"/>
    <n v="0"/>
    <n v="0"/>
    <n v="0"/>
    <n v="-192.40280836106896"/>
  </r>
  <r>
    <x v="10"/>
    <d v="2020-12-03T00:00:00"/>
    <d v="2020-12-24T00:00:00"/>
    <x v="2"/>
    <n v="9"/>
    <n v="109"/>
    <n v="8.6960185985294221"/>
    <n v="6.3097767616586076"/>
    <n v="687.76566702078821"/>
    <n v="947.86602723970702"/>
    <n v="-260.10036021891881"/>
    <n v="-8.7702309523186059"/>
    <n v="-268.87059117123744"/>
    <n v="0"/>
    <n v="0"/>
    <n v="0"/>
    <n v="-268.87059117123744"/>
  </r>
  <r>
    <x v="11"/>
    <d v="2021-01-06T00:00:00"/>
    <d v="2021-01-25T00:00:00"/>
    <x v="2"/>
    <n v="9"/>
    <n v="143"/>
    <n v="8.6960185985294221"/>
    <n v="6.3097767616586076"/>
    <n v="902.29807691718088"/>
    <n v="1243.5306595897073"/>
    <n v="-341.23258267252641"/>
    <n v="-11.505899322766611"/>
    <n v="-352.738481995293"/>
    <n v="0"/>
    <n v="0"/>
    <n v="0"/>
    <n v="-352.738481995293"/>
  </r>
  <r>
    <x v="0"/>
    <d v="2020-02-05T00:00:00"/>
    <d v="2020-02-24T00:00:00"/>
    <x v="3"/>
    <n v="9"/>
    <n v="753"/>
    <n v="8.6960185985294221"/>
    <n v="6.3097767616586076"/>
    <n v="4751.261901528931"/>
    <n v="6548.1020046926551"/>
    <n v="-1796.8401031637241"/>
    <n v="-60.587008321980825"/>
    <n v="-1857.4271114857049"/>
    <n v="0"/>
    <n v="0"/>
    <n v="0"/>
    <n v="-1857.4271114857049"/>
  </r>
  <r>
    <x v="1"/>
    <d v="2020-03-04T00:00:00"/>
    <d v="2020-03-24T00:00:00"/>
    <x v="3"/>
    <n v="9"/>
    <n v="715"/>
    <n v="8.6960185985294221"/>
    <n v="6.3097767616586076"/>
    <n v="4511.4903845859044"/>
    <n v="6217.6532979485364"/>
    <n v="-1706.162913362632"/>
    <n v="-57.529496613833061"/>
    <n v="-1763.6924099764651"/>
    <n v="0"/>
    <n v="0"/>
    <n v="0"/>
    <n v="-1763.6924099764651"/>
  </r>
  <r>
    <x v="2"/>
    <d v="2020-04-03T00:00:00"/>
    <d v="2020-04-24T00:00:00"/>
    <x v="3"/>
    <n v="9"/>
    <n v="510"/>
    <n v="8.6960185985294221"/>
    <n v="6.3097767616586076"/>
    <n v="3217.9861484458897"/>
    <n v="4434.9694852500052"/>
    <n v="-1216.9833368041154"/>
    <n v="-41.035025556720079"/>
    <n v="-1258.0183623608355"/>
    <n v="0"/>
    <n v="0"/>
    <n v="0"/>
    <n v="-1258.0183623608355"/>
  </r>
  <r>
    <x v="3"/>
    <d v="2020-05-05T00:00:00"/>
    <d v="2020-05-25T00:00:00"/>
    <x v="3"/>
    <n v="9"/>
    <n v="615"/>
    <n v="8.6960185985294221"/>
    <n v="6.3097767616586076"/>
    <n v="3880.5127084200435"/>
    <n v="5348.0514380955947"/>
    <n v="-1467.5387296755512"/>
    <n v="-49.483413171338917"/>
    <n v="-1517.0221428468901"/>
    <n v="0"/>
    <n v="0"/>
    <n v="0"/>
    <n v="-1517.0221428468901"/>
  </r>
  <r>
    <x v="4"/>
    <d v="2020-06-03T00:00:00"/>
    <d v="2020-06-24T00:00:00"/>
    <x v="3"/>
    <n v="9"/>
    <n v="551"/>
    <n v="8.6960185985294221"/>
    <n v="6.3097767616586076"/>
    <n v="3476.6869956738929"/>
    <n v="4791.5062477897118"/>
    <n v="-1314.8192521158189"/>
    <n v="-44.333919768142671"/>
    <n v="-1359.1531718839617"/>
    <n v="0"/>
    <n v="0"/>
    <n v="0"/>
    <n v="-1359.1531718839617"/>
  </r>
  <r>
    <x v="5"/>
    <d v="2020-07-03T00:00:00"/>
    <d v="2020-07-24T00:00:00"/>
    <x v="3"/>
    <n v="9"/>
    <n v="815"/>
    <n v="8.6960185985294221"/>
    <n v="6.3097767616586076"/>
    <n v="5142.4680607517648"/>
    <n v="7087.2551578014791"/>
    <n v="-1944.7870970497142"/>
    <n v="-65.575580056327183"/>
    <n v="-2010.3626771060415"/>
    <n v="0"/>
    <n v="0"/>
    <n v="0"/>
    <n v="-2010.3626771060415"/>
  </r>
  <r>
    <x v="6"/>
    <d v="2020-08-05T00:00:00"/>
    <d v="2020-08-24T00:00:00"/>
    <x v="3"/>
    <n v="9"/>
    <n v="816"/>
    <n v="8.6960185985294221"/>
    <n v="6.3097767616586076"/>
    <n v="5148.7778375134239"/>
    <n v="7095.9511764000081"/>
    <n v="-1947.1733388865841"/>
    <n v="-65.656040890752138"/>
    <n v="-2012.8293797773363"/>
    <n v="0"/>
    <n v="0"/>
    <n v="0"/>
    <n v="-2012.8293797773363"/>
  </r>
  <r>
    <x v="7"/>
    <d v="2020-09-03T00:00:00"/>
    <d v="2020-09-24T00:00:00"/>
    <x v="3"/>
    <n v="9"/>
    <n v="889"/>
    <n v="8.6960185985294221"/>
    <n v="6.3097767616586076"/>
    <n v="5609.3915411145017"/>
    <n v="7730.7605340926566"/>
    <n v="-2121.3689929781549"/>
    <n v="-71.529681803772846"/>
    <n v="-2192.8986747819276"/>
    <n v="0"/>
    <n v="0"/>
    <n v="0"/>
    <n v="-2192.8986747819276"/>
  </r>
  <r>
    <x v="8"/>
    <d v="2020-10-05T00:00:00"/>
    <d v="2020-10-26T00:00:00"/>
    <x v="3"/>
    <n v="9"/>
    <n v="768"/>
    <n v="8.6960185985294221"/>
    <n v="6.3097767616586076"/>
    <n v="4845.9085529538106"/>
    <n v="6678.5422836705966"/>
    <n v="-1832.633730716786"/>
    <n v="-61.793920838354943"/>
    <n v="-1894.427651555141"/>
    <n v="0"/>
    <n v="0"/>
    <n v="0"/>
    <n v="-1894.427651555141"/>
  </r>
  <r>
    <x v="9"/>
    <d v="2020-11-04T00:00:00"/>
    <d v="2020-11-24T00:00:00"/>
    <x v="3"/>
    <n v="9"/>
    <n v="633"/>
    <n v="8.6960185985294221"/>
    <n v="6.3097767616586076"/>
    <n v="3994.0886901298986"/>
    <n v="5504.5797728691241"/>
    <n v="-1510.4910827392255"/>
    <n v="-50.93170819098787"/>
    <n v="-1561.4227909302133"/>
    <n v="0"/>
    <n v="0"/>
    <n v="0"/>
    <n v="-1561.4227909302133"/>
  </r>
  <r>
    <x v="10"/>
    <d v="2020-12-03T00:00:00"/>
    <d v="2020-12-24T00:00:00"/>
    <x v="3"/>
    <n v="9"/>
    <n v="639"/>
    <n v="8.6960185985294221"/>
    <n v="6.3097767616586076"/>
    <n v="4031.9473506998502"/>
    <n v="5556.7558844603009"/>
    <n v="-1524.8085337604507"/>
    <n v="-51.414473197537518"/>
    <n v="-1576.2230069579882"/>
    <n v="0"/>
    <n v="0"/>
    <n v="0"/>
    <n v="-1576.2230069579882"/>
  </r>
  <r>
    <x v="11"/>
    <d v="2021-01-06T00:00:00"/>
    <d v="2021-01-25T00:00:00"/>
    <x v="3"/>
    <n v="9"/>
    <n v="734"/>
    <n v="8.6960185985294221"/>
    <n v="6.3097767616586076"/>
    <n v="4631.3761430574177"/>
    <n v="6382.8776513205958"/>
    <n v="-1751.501508263178"/>
    <n v="-59.058252467906939"/>
    <n v="-1810.5597607310849"/>
    <n v="0"/>
    <n v="0"/>
    <n v="0"/>
    <n v="-1810.5597607310849"/>
  </r>
  <r>
    <x v="0"/>
    <d v="2020-02-05T00:00:00"/>
    <d v="2020-02-24T00:00:00"/>
    <x v="4"/>
    <n v="9"/>
    <n v="41"/>
    <n v="8.6960185985294221"/>
    <n v="6.3097767616586076"/>
    <n v="258.70084722800289"/>
    <n v="356.53676253970633"/>
    <n v="-97.835915311703445"/>
    <n v="-3.2988942114225952"/>
    <n v="-101.13480952312604"/>
    <n v="0"/>
    <n v="0"/>
    <n v="0"/>
    <n v="-101.13480952312604"/>
  </r>
  <r>
    <x v="1"/>
    <d v="2020-03-04T00:00:00"/>
    <d v="2020-03-24T00:00:00"/>
    <x v="4"/>
    <n v="9"/>
    <n v="34"/>
    <n v="8.6960185985294221"/>
    <n v="6.3097767616586076"/>
    <n v="214.53240989639266"/>
    <n v="295.66463235000037"/>
    <n v="-81.13222245360771"/>
    <n v="-2.7356683704480056"/>
    <n v="-83.867890824055721"/>
    <n v="0"/>
    <n v="0"/>
    <n v="0"/>
    <n v="-83.867890824055721"/>
  </r>
  <r>
    <x v="2"/>
    <d v="2020-04-03T00:00:00"/>
    <d v="2020-04-24T00:00:00"/>
    <x v="4"/>
    <n v="9"/>
    <n v="25"/>
    <n v="8.6960185985294221"/>
    <n v="6.3097767616586076"/>
    <n v="157.74441904146519"/>
    <n v="217.40046496323555"/>
    <n v="-59.656045921770357"/>
    <n v="-2.0115208606235333"/>
    <n v="-61.667566782393891"/>
    <n v="0"/>
    <n v="0"/>
    <n v="0"/>
    <n v="-61.667566782393891"/>
  </r>
  <r>
    <x v="3"/>
    <d v="2020-05-05T00:00:00"/>
    <d v="2020-05-25T00:00:00"/>
    <x v="4"/>
    <n v="9"/>
    <n v="31"/>
    <n v="8.6960185985294221"/>
    <n v="6.3097767616586076"/>
    <n v="195.60307961141683"/>
    <n v="269.5765765544121"/>
    <n v="-73.973496942995268"/>
    <n v="-2.4942858671731813"/>
    <n v="-76.467782810168444"/>
    <n v="0"/>
    <n v="0"/>
    <n v="0"/>
    <n v="-76.467782810168444"/>
  </r>
  <r>
    <x v="4"/>
    <d v="2020-06-03T00:00:00"/>
    <d v="2020-06-24T00:00:00"/>
    <x v="4"/>
    <n v="9"/>
    <n v="28"/>
    <n v="8.6960185985294221"/>
    <n v="6.3097767616586076"/>
    <n v="176.673749326441"/>
    <n v="243.48852075882382"/>
    <n v="-66.814771432382827"/>
    <n v="-2.2529033638983575"/>
    <n v="-69.067674796281182"/>
    <n v="0"/>
    <n v="0"/>
    <n v="0"/>
    <n v="-69.067674796281182"/>
  </r>
  <r>
    <x v="5"/>
    <d v="2020-07-03T00:00:00"/>
    <d v="2020-07-24T00:00:00"/>
    <x v="4"/>
    <n v="9"/>
    <n v="46"/>
    <n v="8.6960185985294221"/>
    <n v="6.3097767616586076"/>
    <n v="290.24973103629594"/>
    <n v="400.01685553235342"/>
    <n v="-109.76712449605748"/>
    <n v="-3.7011983835473012"/>
    <n v="-113.46832287960478"/>
    <n v="0"/>
    <n v="0"/>
    <n v="0"/>
    <n v="-113.46832287960478"/>
  </r>
  <r>
    <x v="6"/>
    <d v="2020-08-05T00:00:00"/>
    <d v="2020-08-24T00:00:00"/>
    <x v="4"/>
    <n v="9"/>
    <n v="46"/>
    <n v="8.6960185985294221"/>
    <n v="6.3097767616586076"/>
    <n v="290.24973103629594"/>
    <n v="400.01685553235342"/>
    <n v="-109.76712449605748"/>
    <n v="-3.7011983835473012"/>
    <n v="-113.46832287960478"/>
    <n v="0"/>
    <n v="0"/>
    <n v="0"/>
    <n v="-113.46832287960478"/>
  </r>
  <r>
    <x v="7"/>
    <d v="2020-09-03T00:00:00"/>
    <d v="2020-09-24T00:00:00"/>
    <x v="4"/>
    <n v="9"/>
    <n v="43"/>
    <n v="8.6960185985294221"/>
    <n v="6.3097767616586076"/>
    <n v="271.32040075132011"/>
    <n v="373.92879973676514"/>
    <n v="-102.60839898544504"/>
    <n v="-3.4598158802724774"/>
    <n v="-106.06821486571751"/>
    <n v="0"/>
    <n v="0"/>
    <n v="0"/>
    <n v="-106.06821486571751"/>
  </r>
  <r>
    <x v="8"/>
    <d v="2020-10-05T00:00:00"/>
    <d v="2020-10-26T00:00:00"/>
    <x v="4"/>
    <n v="9"/>
    <n v="41"/>
    <n v="8.6960185985294221"/>
    <n v="6.3097767616586076"/>
    <n v="258.70084722800289"/>
    <n v="356.53676253970633"/>
    <n v="-97.835915311703445"/>
    <n v="-3.2988942114225952"/>
    <n v="-101.13480952312604"/>
    <n v="0"/>
    <n v="0"/>
    <n v="0"/>
    <n v="-101.13480952312604"/>
  </r>
  <r>
    <x v="9"/>
    <d v="2020-11-04T00:00:00"/>
    <d v="2020-11-24T00:00:00"/>
    <x v="4"/>
    <n v="9"/>
    <n v="32"/>
    <n v="8.6960185985294221"/>
    <n v="6.3097767616586076"/>
    <n v="201.91285637307544"/>
    <n v="278.27259515294151"/>
    <n v="-76.359738779866063"/>
    <n v="-2.5747467015981229"/>
    <n v="-78.934485481464179"/>
    <n v="0"/>
    <n v="0"/>
    <n v="0"/>
    <n v="-78.934485481464179"/>
  </r>
  <r>
    <x v="10"/>
    <d v="2020-12-03T00:00:00"/>
    <d v="2020-12-24T00:00:00"/>
    <x v="4"/>
    <n v="9"/>
    <n v="30"/>
    <n v="8.6960185985294221"/>
    <n v="6.3097767616586076"/>
    <n v="189.29330284975822"/>
    <n v="260.88055795588264"/>
    <n v="-71.587255106124417"/>
    <n v="-2.4138250327482402"/>
    <n v="-74.001080138872652"/>
    <n v="0"/>
    <n v="0"/>
    <n v="0"/>
    <n v="-74.001080138872652"/>
  </r>
  <r>
    <x v="11"/>
    <d v="2021-01-06T00:00:00"/>
    <d v="2021-01-25T00:00:00"/>
    <x v="4"/>
    <n v="9"/>
    <n v="39"/>
    <n v="8.6960185985294221"/>
    <n v="6.3097767616586076"/>
    <n v="246.08129370468569"/>
    <n v="339.14472534264746"/>
    <n v="-93.06343163796177"/>
    <n v="-3.1379725425727121"/>
    <n v="-96.201404180534482"/>
    <n v="0"/>
    <n v="0"/>
    <n v="0"/>
    <n v="-96.201404180534482"/>
  </r>
  <r>
    <x v="0"/>
    <d v="2020-02-05T00:00:00"/>
    <d v="2020-02-24T00:00:00"/>
    <x v="5"/>
    <n v="9"/>
    <n v="40"/>
    <n v="8.6960185985294221"/>
    <n v="6.3097767616586076"/>
    <n v="252.3910704663443"/>
    <n v="347.84074394117687"/>
    <n v="-95.449673474832565"/>
    <n v="-3.2184333769976536"/>
    <n v="-98.668106851830217"/>
    <n v="0"/>
    <n v="0"/>
    <n v="0"/>
    <n v="-98.668106851830217"/>
  </r>
  <r>
    <x v="1"/>
    <d v="2020-03-04T00:00:00"/>
    <d v="2020-03-24T00:00:00"/>
    <x v="5"/>
    <n v="9"/>
    <n v="42"/>
    <n v="8.6960185985294221"/>
    <n v="6.3097767616586076"/>
    <n v="265.0106239896615"/>
    <n v="365.23278113823574"/>
    <n v="-100.22215714857424"/>
    <n v="-3.3793550458475359"/>
    <n v="-103.60151219442177"/>
    <n v="0"/>
    <n v="0"/>
    <n v="0"/>
    <n v="-103.60151219442177"/>
  </r>
  <r>
    <x v="2"/>
    <d v="2020-04-03T00:00:00"/>
    <d v="2020-04-24T00:00:00"/>
    <x v="5"/>
    <n v="9"/>
    <n v="29"/>
    <n v="8.6960185985294221"/>
    <n v="6.3097767616586076"/>
    <n v="182.98352608809961"/>
    <n v="252.18453935735323"/>
    <n v="-69.201013269253622"/>
    <n v="-2.3333641983232987"/>
    <n v="-71.534377467576917"/>
    <n v="0"/>
    <n v="0"/>
    <n v="0"/>
    <n v="-71.534377467576917"/>
  </r>
  <r>
    <x v="3"/>
    <d v="2020-05-05T00:00:00"/>
    <d v="2020-05-25T00:00:00"/>
    <x v="5"/>
    <n v="9"/>
    <n v="32"/>
    <n v="8.6960185985294221"/>
    <n v="6.3097767616586076"/>
    <n v="201.91285637307544"/>
    <n v="278.27259515294151"/>
    <n v="-76.359738779866063"/>
    <n v="-2.5747467015981229"/>
    <n v="-78.934485481464179"/>
    <n v="0"/>
    <n v="0"/>
    <n v="0"/>
    <n v="-78.934485481464179"/>
  </r>
  <r>
    <x v="4"/>
    <d v="2020-06-03T00:00:00"/>
    <d v="2020-06-24T00:00:00"/>
    <x v="5"/>
    <n v="9"/>
    <n v="24"/>
    <n v="8.6960185985294221"/>
    <n v="6.3097767616586076"/>
    <n v="151.43464227980658"/>
    <n v="208.70444636470614"/>
    <n v="-57.269804084899562"/>
    <n v="-1.931060026198592"/>
    <n v="-59.200864111098156"/>
    <n v="0"/>
    <n v="0"/>
    <n v="0"/>
    <n v="-59.200864111098156"/>
  </r>
  <r>
    <x v="5"/>
    <d v="2020-07-03T00:00:00"/>
    <d v="2020-07-24T00:00:00"/>
    <x v="5"/>
    <n v="9"/>
    <n v="32"/>
    <n v="8.6960185985294221"/>
    <n v="6.3097767616586076"/>
    <n v="201.91285637307544"/>
    <n v="278.27259515294151"/>
    <n v="-76.359738779866063"/>
    <n v="-2.5747467015981229"/>
    <n v="-78.934485481464179"/>
    <n v="0"/>
    <n v="0"/>
    <n v="0"/>
    <n v="-78.934485481464179"/>
  </r>
  <r>
    <x v="6"/>
    <d v="2020-08-05T00:00:00"/>
    <d v="2020-08-24T00:00:00"/>
    <x v="5"/>
    <n v="9"/>
    <n v="42"/>
    <n v="8.6960185985294221"/>
    <n v="6.3097767616586076"/>
    <n v="265.0106239896615"/>
    <n v="365.23278113823574"/>
    <n v="-100.22215714857424"/>
    <n v="-3.3793550458475359"/>
    <n v="-103.60151219442177"/>
    <n v="0"/>
    <n v="0"/>
    <n v="0"/>
    <n v="-103.60151219442177"/>
  </r>
  <r>
    <x v="7"/>
    <d v="2020-09-03T00:00:00"/>
    <d v="2020-09-24T00:00:00"/>
    <x v="5"/>
    <n v="9"/>
    <n v="39"/>
    <n v="8.6960185985294221"/>
    <n v="6.3097767616586076"/>
    <n v="246.08129370468569"/>
    <n v="339.14472534264746"/>
    <n v="-93.06343163796177"/>
    <n v="-3.1379725425727121"/>
    <n v="-96.201404180534482"/>
    <n v="0"/>
    <n v="0"/>
    <n v="0"/>
    <n v="-96.201404180534482"/>
  </r>
  <r>
    <x v="8"/>
    <d v="2020-10-05T00:00:00"/>
    <d v="2020-10-26T00:00:00"/>
    <x v="5"/>
    <n v="9"/>
    <n v="36"/>
    <n v="8.6960185985294221"/>
    <n v="6.3097767616586076"/>
    <n v="227.15196341970989"/>
    <n v="313.05666954705919"/>
    <n v="-85.9047061273493"/>
    <n v="-2.8965900392978883"/>
    <n v="-88.801296166647191"/>
    <n v="0"/>
    <n v="0"/>
    <n v="0"/>
    <n v="-88.801296166647191"/>
  </r>
  <r>
    <x v="9"/>
    <d v="2020-11-04T00:00:00"/>
    <d v="2020-11-24T00:00:00"/>
    <x v="5"/>
    <n v="9"/>
    <n v="34"/>
    <n v="8.6960185985294221"/>
    <n v="6.3097767616586076"/>
    <n v="214.53240989639266"/>
    <n v="295.66463235000037"/>
    <n v="-81.13222245360771"/>
    <n v="-2.7356683704480056"/>
    <n v="-83.867890824055721"/>
    <n v="0"/>
    <n v="0"/>
    <n v="0"/>
    <n v="-83.867890824055721"/>
  </r>
  <r>
    <x v="10"/>
    <d v="2020-12-03T00:00:00"/>
    <d v="2020-12-24T00:00:00"/>
    <x v="5"/>
    <n v="9"/>
    <n v="37"/>
    <n v="8.6960185985294221"/>
    <n v="6.3097767616586076"/>
    <n v="233.46174018136847"/>
    <n v="321.75268814558859"/>
    <n v="-88.290947964220123"/>
    <n v="-2.9770508737228294"/>
    <n v="-91.267998837942955"/>
    <n v="0"/>
    <n v="0"/>
    <n v="0"/>
    <n v="-91.267998837942955"/>
  </r>
  <r>
    <x v="11"/>
    <d v="2021-01-06T00:00:00"/>
    <d v="2021-01-25T00:00:00"/>
    <x v="5"/>
    <n v="9"/>
    <n v="41"/>
    <n v="8.6960185985294221"/>
    <n v="6.3097767616586076"/>
    <n v="258.70084722800289"/>
    <n v="356.53676253970633"/>
    <n v="-97.835915311703445"/>
    <n v="-3.2988942114225952"/>
    <n v="-101.13480952312604"/>
    <n v="0"/>
    <n v="0"/>
    <n v="0"/>
    <n v="-101.13480952312604"/>
  </r>
  <r>
    <x v="0"/>
    <d v="2020-02-05T00:00:00"/>
    <d v="2020-02-24T00:00:00"/>
    <x v="6"/>
    <n v="9"/>
    <n v="76"/>
    <n v="8.6960185985294221"/>
    <n v="6.3097767616586076"/>
    <n v="479.54303388605416"/>
    <n v="660.89741348823611"/>
    <n v="-181.35437960218195"/>
    <n v="-6.1150234162955419"/>
    <n v="-187.46940301847749"/>
    <n v="0"/>
    <n v="0"/>
    <n v="0"/>
    <n v="-187.46940301847749"/>
  </r>
  <r>
    <x v="1"/>
    <d v="2020-03-04T00:00:00"/>
    <d v="2020-03-24T00:00:00"/>
    <x v="6"/>
    <n v="9"/>
    <n v="77"/>
    <n v="8.6960185985294221"/>
    <n v="6.3097767616586076"/>
    <n v="485.85281064771277"/>
    <n v="669.59343208676546"/>
    <n v="-183.74062143905269"/>
    <n v="-6.195484250720483"/>
    <n v="-189.93610568977317"/>
    <n v="0"/>
    <n v="0"/>
    <n v="0"/>
    <n v="-189.93610568977317"/>
  </r>
  <r>
    <x v="2"/>
    <d v="2020-04-03T00:00:00"/>
    <d v="2020-04-24T00:00:00"/>
    <x v="6"/>
    <n v="9"/>
    <n v="85"/>
    <n v="8.6960185985294221"/>
    <n v="6.3097767616586076"/>
    <n v="536.33102474098166"/>
    <n v="739.16158087500082"/>
    <n v="-202.83055613401916"/>
    <n v="-6.8391709261200138"/>
    <n v="-209.66972706013917"/>
    <n v="0"/>
    <n v="0"/>
    <n v="0"/>
    <n v="-209.66972706013917"/>
  </r>
  <r>
    <x v="3"/>
    <d v="2020-05-05T00:00:00"/>
    <d v="2020-05-25T00:00:00"/>
    <x v="6"/>
    <n v="9"/>
    <n v="82"/>
    <n v="8.6960185985294221"/>
    <n v="6.3097767616586076"/>
    <n v="517.40169445600577"/>
    <n v="713.07352507941266"/>
    <n v="-195.67183062340689"/>
    <n v="-6.5977884228451904"/>
    <n v="-202.26961904625207"/>
    <n v="0"/>
    <n v="0"/>
    <n v="0"/>
    <n v="-202.26961904625207"/>
  </r>
  <r>
    <x v="4"/>
    <d v="2020-06-03T00:00:00"/>
    <d v="2020-06-24T00:00:00"/>
    <x v="6"/>
    <n v="9"/>
    <n v="117"/>
    <n v="8.6960185985294221"/>
    <n v="6.3097767616586076"/>
    <n v="738.2438811140571"/>
    <n v="1017.4341760279424"/>
    <n v="-279.19029491388528"/>
    <n v="-9.4139176277181367"/>
    <n v="-288.60421254160343"/>
    <n v="0"/>
    <n v="0"/>
    <n v="0"/>
    <n v="-288.60421254160343"/>
  </r>
  <r>
    <x v="5"/>
    <d v="2020-07-03T00:00:00"/>
    <d v="2020-07-24T00:00:00"/>
    <x v="6"/>
    <n v="9"/>
    <n v="131"/>
    <n v="8.6960185985294221"/>
    <n v="6.3097767616586076"/>
    <n v="826.58075577727755"/>
    <n v="1139.1784364073542"/>
    <n v="-312.59768063007664"/>
    <n v="-10.540369309667316"/>
    <n v="-323.13804993974395"/>
    <n v="0"/>
    <n v="0"/>
    <n v="0"/>
    <n v="-323.13804993974395"/>
  </r>
  <r>
    <x v="6"/>
    <d v="2020-08-05T00:00:00"/>
    <d v="2020-08-24T00:00:00"/>
    <x v="6"/>
    <n v="9"/>
    <n v="147"/>
    <n v="8.6960185985294221"/>
    <n v="6.3097767616586076"/>
    <n v="927.53718396381532"/>
    <n v="1278.3147339838251"/>
    <n v="-350.77755002000981"/>
    <n v="-11.827742660466377"/>
    <n v="-362.60529268047617"/>
    <n v="0"/>
    <n v="0"/>
    <n v="0"/>
    <n v="-362.60529268047617"/>
  </r>
  <r>
    <x v="7"/>
    <d v="2020-09-03T00:00:00"/>
    <d v="2020-09-24T00:00:00"/>
    <x v="6"/>
    <n v="9"/>
    <n v="141"/>
    <n v="8.6960185985294221"/>
    <n v="6.3097767616586076"/>
    <n v="889.67852339386366"/>
    <n v="1226.1386223926486"/>
    <n v="-336.46009899878493"/>
    <n v="-11.344977653916729"/>
    <n v="-347.80507665270164"/>
    <n v="0"/>
    <n v="0"/>
    <n v="0"/>
    <n v="-347.80507665270164"/>
  </r>
  <r>
    <x v="8"/>
    <d v="2020-10-05T00:00:00"/>
    <d v="2020-10-26T00:00:00"/>
    <x v="6"/>
    <n v="9"/>
    <n v="111"/>
    <n v="8.6960185985294221"/>
    <n v="6.3097767616586076"/>
    <n v="700.38522054410544"/>
    <n v="965.25806443676584"/>
    <n v="-264.8728438926604"/>
    <n v="-8.9311526211684882"/>
    <n v="-273.80399651382891"/>
    <n v="0"/>
    <n v="0"/>
    <n v="0"/>
    <n v="-273.80399651382891"/>
  </r>
  <r>
    <x v="9"/>
    <d v="2020-11-04T00:00:00"/>
    <d v="2020-11-24T00:00:00"/>
    <x v="6"/>
    <n v="9"/>
    <n v="98"/>
    <n v="8.6960185985294221"/>
    <n v="6.3097767616586076"/>
    <n v="618.35812264254355"/>
    <n v="852.20982265588339"/>
    <n v="-233.85170001333984"/>
    <n v="-7.885161773644251"/>
    <n v="-241.73686178698409"/>
    <n v="0"/>
    <n v="0"/>
    <n v="0"/>
    <n v="-241.73686178698409"/>
  </r>
  <r>
    <x v="10"/>
    <d v="2020-12-03T00:00:00"/>
    <d v="2020-12-24T00:00:00"/>
    <x v="6"/>
    <n v="9"/>
    <n v="74"/>
    <n v="8.6960185985294221"/>
    <n v="6.3097767616586076"/>
    <n v="466.92348036273694"/>
    <n v="643.50537629117719"/>
    <n v="-176.58189592844025"/>
    <n v="-5.9541017474456588"/>
    <n v="-182.53599767588591"/>
    <n v="0"/>
    <n v="0"/>
    <n v="0"/>
    <n v="-182.53599767588591"/>
  </r>
  <r>
    <x v="11"/>
    <d v="2021-01-06T00:00:00"/>
    <d v="2021-01-25T00:00:00"/>
    <x v="6"/>
    <n v="9"/>
    <n v="78"/>
    <n v="8.6960185985294221"/>
    <n v="6.3097767616586076"/>
    <n v="492.16258740937138"/>
    <n v="678.28945068529492"/>
    <n v="-186.12686327592354"/>
    <n v="-6.2759450851454242"/>
    <n v="-192.40280836106896"/>
    <n v="0"/>
    <n v="0"/>
    <n v="0"/>
    <n v="-192.40280836106896"/>
  </r>
  <r>
    <x v="0"/>
    <d v="2020-02-05T00:00:00"/>
    <d v="2020-02-24T00:00:00"/>
    <x v="7"/>
    <n v="9"/>
    <n v="39"/>
    <n v="8.6960185985294221"/>
    <n v="6.3097767616586076"/>
    <n v="246.08129370468569"/>
    <n v="339.14472534264746"/>
    <n v="-93.06343163796177"/>
    <n v="-3.1379725425727121"/>
    <n v="-96.201404180534482"/>
    <n v="0"/>
    <n v="0"/>
    <n v="0"/>
    <n v="-96.201404180534482"/>
  </r>
  <r>
    <x v="1"/>
    <d v="2020-03-04T00:00:00"/>
    <d v="2020-03-24T00:00:00"/>
    <x v="7"/>
    <n v="9"/>
    <n v="41"/>
    <n v="8.6960185985294221"/>
    <n v="6.3097767616586076"/>
    <n v="258.70084722800289"/>
    <n v="356.53676253970633"/>
    <n v="-97.835915311703445"/>
    <n v="-3.2988942114225952"/>
    <n v="-101.13480952312604"/>
    <n v="0"/>
    <n v="0"/>
    <n v="0"/>
    <n v="-101.13480952312604"/>
  </r>
  <r>
    <x v="2"/>
    <d v="2020-04-03T00:00:00"/>
    <d v="2020-04-24T00:00:00"/>
    <x v="7"/>
    <n v="9"/>
    <n v="36"/>
    <n v="8.6960185985294221"/>
    <n v="6.3097767616586076"/>
    <n v="227.15196341970989"/>
    <n v="313.05666954705919"/>
    <n v="-85.9047061273493"/>
    <n v="-2.8965900392978883"/>
    <n v="-88.801296166647191"/>
    <n v="0"/>
    <n v="0"/>
    <n v="0"/>
    <n v="-88.801296166647191"/>
  </r>
  <r>
    <x v="3"/>
    <d v="2020-05-05T00:00:00"/>
    <d v="2020-05-25T00:00:00"/>
    <x v="7"/>
    <n v="9"/>
    <n v="31"/>
    <n v="8.6960185985294221"/>
    <n v="6.3097767616586076"/>
    <n v="195.60307961141683"/>
    <n v="269.5765765544121"/>
    <n v="-73.973496942995268"/>
    <n v="-2.4942858671731813"/>
    <n v="-76.467782810168444"/>
    <n v="0"/>
    <n v="0"/>
    <n v="0"/>
    <n v="-76.467782810168444"/>
  </r>
  <r>
    <x v="4"/>
    <d v="2020-06-03T00:00:00"/>
    <d v="2020-06-24T00:00:00"/>
    <x v="7"/>
    <n v="9"/>
    <n v="32"/>
    <n v="8.6960185985294221"/>
    <n v="6.3097767616586076"/>
    <n v="201.91285637307544"/>
    <n v="278.27259515294151"/>
    <n v="-76.359738779866063"/>
    <n v="-2.5747467015981229"/>
    <n v="-78.934485481464179"/>
    <n v="0"/>
    <n v="0"/>
    <n v="0"/>
    <n v="-78.934485481464179"/>
  </r>
  <r>
    <x v="5"/>
    <d v="2020-07-03T00:00:00"/>
    <d v="2020-07-24T00:00:00"/>
    <x v="7"/>
    <n v="9"/>
    <n v="39"/>
    <n v="8.6960185985294221"/>
    <n v="6.3097767616586076"/>
    <n v="246.08129370468569"/>
    <n v="339.14472534264746"/>
    <n v="-93.06343163796177"/>
    <n v="-3.1379725425727121"/>
    <n v="-96.201404180534482"/>
    <n v="0"/>
    <n v="0"/>
    <n v="0"/>
    <n v="-96.201404180534482"/>
  </r>
  <r>
    <x v="6"/>
    <d v="2020-08-05T00:00:00"/>
    <d v="2020-08-24T00:00:00"/>
    <x v="7"/>
    <n v="9"/>
    <n v="44"/>
    <n v="8.6960185985294221"/>
    <n v="6.3097767616586076"/>
    <n v="277.63017751297872"/>
    <n v="382.62481833529455"/>
    <n v="-104.99464082231583"/>
    <n v="-3.540276714697419"/>
    <n v="-108.53491753701324"/>
    <n v="0"/>
    <n v="0"/>
    <n v="0"/>
    <n v="-108.53491753701324"/>
  </r>
  <r>
    <x v="7"/>
    <d v="2020-09-03T00:00:00"/>
    <d v="2020-09-24T00:00:00"/>
    <x v="7"/>
    <n v="9"/>
    <n v="38"/>
    <n v="8.6960185985294221"/>
    <n v="6.3097767616586076"/>
    <n v="239.77151694302708"/>
    <n v="330.44870674411806"/>
    <n v="-90.677189801090975"/>
    <n v="-3.057511708147771"/>
    <n v="-93.734701509238747"/>
    <n v="0"/>
    <n v="0"/>
    <n v="0"/>
    <n v="-93.734701509238747"/>
  </r>
  <r>
    <x v="8"/>
    <d v="2020-10-05T00:00:00"/>
    <d v="2020-10-26T00:00:00"/>
    <x v="7"/>
    <n v="9"/>
    <n v="41"/>
    <n v="8.6960185985294221"/>
    <n v="6.3097767616586076"/>
    <n v="258.70084722800289"/>
    <n v="356.53676253970633"/>
    <n v="-97.835915311703445"/>
    <n v="-3.2988942114225952"/>
    <n v="-101.13480952312604"/>
    <n v="0"/>
    <n v="0"/>
    <n v="0"/>
    <n v="-101.13480952312604"/>
  </r>
  <r>
    <x v="9"/>
    <d v="2020-11-04T00:00:00"/>
    <d v="2020-11-24T00:00:00"/>
    <x v="7"/>
    <n v="9"/>
    <n v="42"/>
    <n v="8.6960185985294221"/>
    <n v="6.3097767616586076"/>
    <n v="265.0106239896615"/>
    <n v="365.23278113823574"/>
    <n v="-100.22215714857424"/>
    <n v="-3.3793550458475359"/>
    <n v="-103.60151219442177"/>
    <n v="0"/>
    <n v="0"/>
    <n v="0"/>
    <n v="-103.60151219442177"/>
  </r>
  <r>
    <x v="10"/>
    <d v="2020-12-03T00:00:00"/>
    <d v="2020-12-24T00:00:00"/>
    <x v="7"/>
    <n v="9"/>
    <n v="45"/>
    <n v="8.6960185985294221"/>
    <n v="6.3097767616586076"/>
    <n v="283.93995427463733"/>
    <n v="391.32083693382401"/>
    <n v="-107.38088265918668"/>
    <n v="-3.6207375491223606"/>
    <n v="-111.00162020830905"/>
    <n v="0"/>
    <n v="0"/>
    <n v="0"/>
    <n v="-111.00162020830905"/>
  </r>
  <r>
    <x v="11"/>
    <d v="2021-01-06T00:00:00"/>
    <d v="2021-01-25T00:00:00"/>
    <x v="7"/>
    <n v="9"/>
    <n v="43"/>
    <n v="8.6960185985294221"/>
    <n v="6.3097767616586076"/>
    <n v="271.32040075132011"/>
    <n v="373.92879973676514"/>
    <n v="-102.60839898544504"/>
    <n v="-3.4598158802724774"/>
    <n v="-106.06821486571751"/>
    <n v="0"/>
    <n v="0"/>
    <n v="0"/>
    <n v="-106.06821486571751"/>
  </r>
  <r>
    <x v="0"/>
    <d v="2020-02-05T00:00:00"/>
    <d v="2020-02-24T00:00:00"/>
    <x v="8"/>
    <n v="9"/>
    <n v="973"/>
    <n v="8.6960185985294221"/>
    <n v="6.3097767616586076"/>
    <n v="6139.4127890938253"/>
    <n v="8461.2260963691278"/>
    <n v="-2321.8133072753026"/>
    <n v="-78.288391895467925"/>
    <n v="-2400.1016991707706"/>
    <n v="0"/>
    <n v="0"/>
    <n v="0"/>
    <n v="-2400.1016991707706"/>
  </r>
  <r>
    <x v="1"/>
    <d v="2020-03-04T00:00:00"/>
    <d v="2020-03-24T00:00:00"/>
    <x v="8"/>
    <n v="9"/>
    <n v="991"/>
    <n v="8.6960185985294221"/>
    <n v="6.3097767616586076"/>
    <n v="6252.9887708036804"/>
    <n v="8617.7544311426573"/>
    <n v="-2364.7656603389769"/>
    <n v="-79.736686915116863"/>
    <n v="-2444.5023472540938"/>
    <n v="0"/>
    <n v="0"/>
    <n v="0"/>
    <n v="-2444.5023472540938"/>
  </r>
  <r>
    <x v="2"/>
    <d v="2020-04-03T00:00:00"/>
    <d v="2020-04-24T00:00:00"/>
    <x v="8"/>
    <n v="9"/>
    <n v="585"/>
    <n v="8.6960185985294221"/>
    <n v="6.3097767616586076"/>
    <n v="3691.2194055702853"/>
    <n v="5087.1708801397117"/>
    <n v="-1395.9514745694264"/>
    <n v="-47.069588138590682"/>
    <n v="-1443.0210627080171"/>
    <n v="0"/>
    <n v="0"/>
    <n v="0"/>
    <n v="-1443.0210627080171"/>
  </r>
  <r>
    <x v="3"/>
    <d v="2020-05-05T00:00:00"/>
    <d v="2020-05-25T00:00:00"/>
    <x v="8"/>
    <n v="9"/>
    <n v="650"/>
    <n v="8.6960185985294221"/>
    <n v="6.3097767616586076"/>
    <n v="4101.3548950780951"/>
    <n v="5652.4120890441245"/>
    <n v="-1551.0571939660294"/>
    <n v="-52.299542376211875"/>
    <n v="-1603.3567363422412"/>
    <n v="0"/>
    <n v="0"/>
    <n v="0"/>
    <n v="-1603.3567363422412"/>
  </r>
  <r>
    <x v="4"/>
    <d v="2020-06-03T00:00:00"/>
    <d v="2020-06-24T00:00:00"/>
    <x v="8"/>
    <n v="9"/>
    <n v="688"/>
    <n v="8.6960185985294221"/>
    <n v="6.3097767616586076"/>
    <n v="4341.1264120211217"/>
    <n v="5982.8607957882423"/>
    <n v="-1641.7343837671206"/>
    <n v="-55.357054084359639"/>
    <n v="-1697.0914378514801"/>
    <n v="0"/>
    <n v="0"/>
    <n v="0"/>
    <n v="-1697.0914378514801"/>
  </r>
  <r>
    <x v="5"/>
    <d v="2020-07-03T00:00:00"/>
    <d v="2020-07-24T00:00:00"/>
    <x v="8"/>
    <n v="9"/>
    <n v="835"/>
    <n v="8.6960185985294221"/>
    <n v="6.3097767616586076"/>
    <n v="5268.6635959849373"/>
    <n v="7261.1755297720674"/>
    <n v="-1992.5119337871301"/>
    <n v="-67.184796744826016"/>
    <n v="-2059.6967305319563"/>
    <n v="0"/>
    <n v="0"/>
    <n v="0"/>
    <n v="-2059.6967305319563"/>
  </r>
  <r>
    <x v="6"/>
    <d v="2020-08-05T00:00:00"/>
    <d v="2020-08-24T00:00:00"/>
    <x v="8"/>
    <n v="9"/>
    <n v="908"/>
    <n v="8.6960185985294221"/>
    <n v="6.3097767616586076"/>
    <n v="5729.2772995860159"/>
    <n v="7895.984887464715"/>
    <n v="-2166.7075878786991"/>
    <n v="-73.058437657846738"/>
    <n v="-2239.7660255365458"/>
    <n v="0"/>
    <n v="0"/>
    <n v="0"/>
    <n v="-2239.7660255365458"/>
  </r>
  <r>
    <x v="7"/>
    <d v="2020-09-03T00:00:00"/>
    <d v="2020-09-24T00:00:00"/>
    <x v="8"/>
    <n v="9"/>
    <n v="905"/>
    <n v="8.6960185985294221"/>
    <n v="6.3097767616586076"/>
    <n v="5710.3479693010395"/>
    <n v="7869.8968316691271"/>
    <n v="-2159.5488623680876"/>
    <n v="-72.817055154571918"/>
    <n v="-2232.3659175226594"/>
    <n v="0"/>
    <n v="0"/>
    <n v="0"/>
    <n v="-2232.3659175226594"/>
  </r>
  <r>
    <x v="8"/>
    <d v="2020-10-05T00:00:00"/>
    <d v="2020-10-26T00:00:00"/>
    <x v="8"/>
    <n v="9"/>
    <n v="758"/>
    <n v="8.6960185985294221"/>
    <n v="6.3097767616586076"/>
    <n v="4782.8107853372248"/>
    <n v="6591.582097685302"/>
    <n v="-1808.7713123480771"/>
    <n v="-60.989312494105526"/>
    <n v="-1869.7606248421826"/>
    <n v="0"/>
    <n v="0"/>
    <n v="0"/>
    <n v="-1869.7606248421826"/>
  </r>
  <r>
    <x v="9"/>
    <d v="2020-11-04T00:00:00"/>
    <d v="2020-11-24T00:00:00"/>
    <x v="8"/>
    <n v="9"/>
    <n v="713"/>
    <n v="8.6960185985294221"/>
    <n v="6.3097767616586076"/>
    <n v="4498.8708310625871"/>
    <n v="6200.2612607514775"/>
    <n v="-1701.3904296888904"/>
    <n v="-57.368574944983173"/>
    <n v="-1758.7590046338737"/>
    <n v="0"/>
    <n v="0"/>
    <n v="0"/>
    <n v="-1758.7590046338737"/>
  </r>
  <r>
    <x v="10"/>
    <d v="2020-12-03T00:00:00"/>
    <d v="2020-12-24T00:00:00"/>
    <x v="8"/>
    <n v="9"/>
    <n v="763"/>
    <n v="8.6960185985294221"/>
    <n v="6.3097767616586076"/>
    <n v="4814.3596691455177"/>
    <n v="6635.0621906779488"/>
    <n v="-1820.7025215324311"/>
    <n v="-61.391616666230242"/>
    <n v="-1882.0941381986613"/>
    <n v="0"/>
    <n v="0"/>
    <n v="0"/>
    <n v="-1882.0941381986613"/>
  </r>
  <r>
    <x v="11"/>
    <d v="2021-01-06T00:00:00"/>
    <d v="2021-01-25T00:00:00"/>
    <x v="8"/>
    <n v="9"/>
    <n v="988"/>
    <n v="8.6960185985294221"/>
    <n v="6.3097767616586076"/>
    <n v="6234.0594405187039"/>
    <n v="8591.6663753470693"/>
    <n v="-2357.6069348283654"/>
    <n v="-79.495304411842042"/>
    <n v="-2437.1022392402074"/>
    <n v="0"/>
    <n v="0"/>
    <n v="0"/>
    <n v="-2437.1022392402074"/>
  </r>
  <r>
    <x v="0"/>
    <d v="2020-02-05T00:00:00"/>
    <d v="2020-02-24T00:00:00"/>
    <x v="9"/>
    <n v="9"/>
    <n v="6"/>
    <n v="8.6960185985294221"/>
    <n v="6.3097767616586076"/>
    <n v="37.858660569951645"/>
    <n v="52.176111591176536"/>
    <n v="-14.31745102122489"/>
    <n v="-0.48276500654964799"/>
    <n v="-14.800216027774539"/>
    <n v="0"/>
    <n v="0"/>
    <n v="0"/>
    <n v="-14.800216027774539"/>
  </r>
  <r>
    <x v="1"/>
    <d v="2020-03-04T00:00:00"/>
    <d v="2020-03-24T00:00:00"/>
    <x v="9"/>
    <n v="9"/>
    <n v="5"/>
    <n v="8.6960185985294221"/>
    <n v="6.3097767616586076"/>
    <n v="31.548883808293038"/>
    <n v="43.480092992647108"/>
    <n v="-11.931209184354071"/>
    <n v="-0.4023041721247067"/>
    <n v="-12.333513356478777"/>
    <n v="0"/>
    <n v="0"/>
    <n v="0"/>
    <n v="-12.333513356478777"/>
  </r>
  <r>
    <x v="2"/>
    <d v="2020-04-03T00:00:00"/>
    <d v="2020-04-24T00:00:00"/>
    <x v="9"/>
    <n v="9"/>
    <n v="4"/>
    <n v="8.6960185985294221"/>
    <n v="6.3097767616586076"/>
    <n v="25.23910704663443"/>
    <n v="34.784074394117688"/>
    <n v="-9.5449673474832579"/>
    <n v="-0.32184333769976536"/>
    <n v="-9.8668106851830224"/>
    <n v="0"/>
    <n v="0"/>
    <n v="0"/>
    <n v="-9.8668106851830224"/>
  </r>
  <r>
    <x v="3"/>
    <d v="2020-05-05T00:00:00"/>
    <d v="2020-05-25T00:00:00"/>
    <x v="9"/>
    <n v="9"/>
    <n v="7"/>
    <n v="8.6960185985294221"/>
    <n v="6.3097767616586076"/>
    <n v="44.168437331610249"/>
    <n v="60.872130189705956"/>
    <n v="-16.703692858095707"/>
    <n v="-0.56322584097458939"/>
    <n v="-17.266918699070295"/>
    <n v="0"/>
    <n v="0"/>
    <n v="0"/>
    <n v="-17.266918699070295"/>
  </r>
  <r>
    <x v="4"/>
    <d v="2020-06-03T00:00:00"/>
    <d v="2020-06-24T00:00:00"/>
    <x v="9"/>
    <n v="9"/>
    <n v="11"/>
    <n v="8.6960185985294221"/>
    <n v="6.3097767616586076"/>
    <n v="69.40754437824468"/>
    <n v="95.656204583823637"/>
    <n v="-26.248660205578958"/>
    <n v="-0.88506917867435475"/>
    <n v="-27.133729384253311"/>
    <n v="0"/>
    <n v="0"/>
    <n v="0"/>
    <n v="-27.133729384253311"/>
  </r>
  <r>
    <x v="5"/>
    <d v="2020-07-03T00:00:00"/>
    <d v="2020-07-24T00:00:00"/>
    <x v="9"/>
    <n v="9"/>
    <n v="12"/>
    <n v="8.6960185985294221"/>
    <n v="6.3097767616586076"/>
    <n v="75.717321139903291"/>
    <n v="104.35222318235307"/>
    <n v="-28.634902042449781"/>
    <n v="-0.96553001309929598"/>
    <n v="-29.600432055549078"/>
    <n v="0"/>
    <n v="0"/>
    <n v="0"/>
    <n v="-29.600432055549078"/>
  </r>
  <r>
    <x v="6"/>
    <d v="2020-08-05T00:00:00"/>
    <d v="2020-08-24T00:00:00"/>
    <x v="9"/>
    <n v="9"/>
    <n v="18"/>
    <n v="8.6960185985294221"/>
    <n v="6.3097767616586076"/>
    <n v="113.57598170985494"/>
    <n v="156.52833477352959"/>
    <n v="-42.95235306367465"/>
    <n v="-1.4482950196489441"/>
    <n v="-44.400648083323595"/>
    <n v="0"/>
    <n v="0"/>
    <n v="0"/>
    <n v="-44.400648083323595"/>
  </r>
  <r>
    <x v="7"/>
    <d v="2020-09-03T00:00:00"/>
    <d v="2020-09-24T00:00:00"/>
    <x v="9"/>
    <n v="9"/>
    <n v="16"/>
    <n v="8.6960185985294221"/>
    <n v="6.3097767616586076"/>
    <n v="100.95642818653772"/>
    <n v="139.13629757647075"/>
    <n v="-38.179869389933032"/>
    <n v="-1.2873733507990615"/>
    <n v="-39.46724274073209"/>
    <n v="0"/>
    <n v="0"/>
    <n v="0"/>
    <n v="-39.46724274073209"/>
  </r>
  <r>
    <x v="8"/>
    <d v="2020-10-05T00:00:00"/>
    <d v="2020-10-26T00:00:00"/>
    <x v="9"/>
    <n v="9"/>
    <n v="6"/>
    <n v="8.6960185985294221"/>
    <n v="6.3097767616586076"/>
    <n v="37.858660569951645"/>
    <n v="52.176111591176536"/>
    <n v="-14.31745102122489"/>
    <n v="-0.48276500654964799"/>
    <n v="-14.800216027774539"/>
    <n v="0"/>
    <n v="0"/>
    <n v="0"/>
    <n v="-14.800216027774539"/>
  </r>
  <r>
    <x v="9"/>
    <d v="2020-11-04T00:00:00"/>
    <d v="2020-11-24T00:00:00"/>
    <x v="9"/>
    <n v="9"/>
    <n v="7"/>
    <n v="8.6960185985294221"/>
    <n v="6.3097767616586076"/>
    <n v="44.168437331610249"/>
    <n v="60.872130189705956"/>
    <n v="-16.703692858095707"/>
    <n v="-0.56322584097458939"/>
    <n v="-17.266918699070295"/>
    <n v="0"/>
    <n v="0"/>
    <n v="0"/>
    <n v="-17.266918699070295"/>
  </r>
  <r>
    <x v="10"/>
    <d v="2020-12-03T00:00:00"/>
    <d v="2020-12-24T00:00:00"/>
    <x v="9"/>
    <n v="9"/>
    <n v="6"/>
    <n v="8.6960185985294221"/>
    <n v="6.3097767616586076"/>
    <n v="37.858660569951645"/>
    <n v="52.176111591176536"/>
    <n v="-14.31745102122489"/>
    <n v="-0.48276500654964799"/>
    <n v="-14.800216027774539"/>
    <n v="0"/>
    <n v="0"/>
    <n v="0"/>
    <n v="-14.800216027774539"/>
  </r>
  <r>
    <x v="11"/>
    <d v="2021-01-06T00:00:00"/>
    <d v="2021-01-25T00:00:00"/>
    <x v="9"/>
    <n v="9"/>
    <n v="8"/>
    <n v="8.6960185985294221"/>
    <n v="6.3097767616586076"/>
    <n v="50.478214093268861"/>
    <n v="69.568148788235376"/>
    <n v="-19.089934694966516"/>
    <n v="-0.64368667539953073"/>
    <n v="-19.733621370366045"/>
    <n v="0"/>
    <n v="0"/>
    <n v="0"/>
    <n v="-19.733621370366045"/>
  </r>
  <r>
    <x v="0"/>
    <d v="2020-02-05T00:00:00"/>
    <d v="2020-02-24T00:00:00"/>
    <x v="10"/>
    <n v="9"/>
    <n v="2"/>
    <n v="8.6960185985294221"/>
    <n v="6.3097767616586076"/>
    <n v="12.619553523317215"/>
    <n v="17.392037197058844"/>
    <n v="-4.772483673741629"/>
    <n v="-0.16092166884988268"/>
    <n v="-4.9334053425915112"/>
    <n v="0"/>
    <n v="0"/>
    <n v="0"/>
    <n v="-4.9334053425915112"/>
  </r>
  <r>
    <x v="1"/>
    <d v="2020-03-04T00:00:00"/>
    <d v="2020-03-24T00:00:00"/>
    <x v="10"/>
    <n v="9"/>
    <n v="3"/>
    <n v="8.6960185985294221"/>
    <n v="6.3097767616586076"/>
    <n v="18.929330284975823"/>
    <n v="26.088055795588268"/>
    <n v="-7.1587255106124452"/>
    <n v="-0.241382503274824"/>
    <n v="-7.4001080138872695"/>
    <n v="0"/>
    <n v="0"/>
    <n v="0"/>
    <n v="-7.4001080138872695"/>
  </r>
  <r>
    <x v="2"/>
    <d v="2020-04-03T00:00:00"/>
    <d v="2020-04-24T00:00:00"/>
    <x v="10"/>
    <n v="9"/>
    <n v="1"/>
    <n v="8.6960185985294221"/>
    <n v="6.3097767616586076"/>
    <n v="6.3097767616586076"/>
    <n v="8.6960185985294221"/>
    <n v="-2.3862418368708145"/>
    <n v="-8.0460834424941341E-2"/>
    <n v="-2.4667026712957556"/>
    <n v="0"/>
    <n v="0"/>
    <n v="0"/>
    <n v="-2.4667026712957556"/>
  </r>
  <r>
    <x v="3"/>
    <d v="2020-05-05T00:00:00"/>
    <d v="2020-05-25T00:00:00"/>
    <x v="10"/>
    <n v="9"/>
    <n v="2"/>
    <n v="8.6960185985294221"/>
    <n v="6.3097767616586076"/>
    <n v="12.619553523317215"/>
    <n v="17.392037197058844"/>
    <n v="-4.772483673741629"/>
    <n v="-0.16092166884988268"/>
    <n v="-4.9334053425915112"/>
    <n v="0"/>
    <n v="0"/>
    <n v="0"/>
    <n v="-4.9334053425915112"/>
  </r>
  <r>
    <x v="4"/>
    <d v="2020-06-03T00:00:00"/>
    <d v="2020-06-24T00:00:00"/>
    <x v="10"/>
    <n v="9"/>
    <n v="2"/>
    <n v="8.6960185985294221"/>
    <n v="6.3097767616586076"/>
    <n v="12.619553523317215"/>
    <n v="17.392037197058844"/>
    <n v="-4.772483673741629"/>
    <n v="-0.16092166884988268"/>
    <n v="-4.9334053425915112"/>
    <n v="0"/>
    <n v="0"/>
    <n v="0"/>
    <n v="-4.9334053425915112"/>
  </r>
  <r>
    <x v="5"/>
    <d v="2020-07-03T00:00:00"/>
    <d v="2020-07-24T00:00:00"/>
    <x v="10"/>
    <n v="9"/>
    <n v="4"/>
    <n v="8.6960185985294221"/>
    <n v="6.3097767616586076"/>
    <n v="25.23910704663443"/>
    <n v="34.784074394117688"/>
    <n v="-9.5449673474832579"/>
    <n v="-0.32184333769976536"/>
    <n v="-9.8668106851830224"/>
    <n v="0"/>
    <n v="0"/>
    <n v="0"/>
    <n v="-9.8668106851830224"/>
  </r>
  <r>
    <x v="6"/>
    <d v="2020-08-05T00:00:00"/>
    <d v="2020-08-24T00:00:00"/>
    <x v="10"/>
    <n v="9"/>
    <n v="6"/>
    <n v="8.6960185985294221"/>
    <n v="6.3097767616586076"/>
    <n v="37.858660569951645"/>
    <n v="52.176111591176536"/>
    <n v="-14.31745102122489"/>
    <n v="-0.48276500654964799"/>
    <n v="-14.800216027774539"/>
    <n v="0"/>
    <n v="0"/>
    <n v="0"/>
    <n v="-14.800216027774539"/>
  </r>
  <r>
    <x v="7"/>
    <d v="2020-09-03T00:00:00"/>
    <d v="2020-09-24T00:00:00"/>
    <x v="10"/>
    <n v="9"/>
    <n v="5"/>
    <n v="8.6960185985294221"/>
    <n v="6.3097767616586076"/>
    <n v="31.548883808293038"/>
    <n v="43.480092992647108"/>
    <n v="-11.931209184354071"/>
    <n v="-0.4023041721247067"/>
    <n v="-12.333513356478777"/>
    <n v="0"/>
    <n v="0"/>
    <n v="0"/>
    <n v="-12.333513356478777"/>
  </r>
  <r>
    <x v="8"/>
    <d v="2020-10-05T00:00:00"/>
    <d v="2020-10-26T00:00:00"/>
    <x v="10"/>
    <n v="9"/>
    <n v="2"/>
    <n v="8.6960185985294221"/>
    <n v="6.3097767616586076"/>
    <n v="12.619553523317215"/>
    <n v="17.392037197058844"/>
    <n v="-4.772483673741629"/>
    <n v="-0.16092166884988268"/>
    <n v="-4.9334053425915112"/>
    <n v="0"/>
    <n v="0"/>
    <n v="0"/>
    <n v="-4.9334053425915112"/>
  </r>
  <r>
    <x v="9"/>
    <d v="2020-11-04T00:00:00"/>
    <d v="2020-11-24T00:00:00"/>
    <x v="10"/>
    <n v="9"/>
    <n v="1"/>
    <n v="8.6960185985294221"/>
    <n v="6.3097767616586076"/>
    <n v="6.3097767616586076"/>
    <n v="8.6960185985294221"/>
    <n v="-2.3862418368708145"/>
    <n v="-8.0460834424941341E-2"/>
    <n v="-2.4667026712957556"/>
    <n v="0"/>
    <n v="0"/>
    <n v="0"/>
    <n v="-2.4667026712957556"/>
  </r>
  <r>
    <x v="10"/>
    <d v="2020-12-03T00:00:00"/>
    <d v="2020-12-24T00:00:00"/>
    <x v="10"/>
    <n v="9"/>
    <n v="3"/>
    <n v="8.6960185985294221"/>
    <n v="6.3097767616586076"/>
    <n v="18.929330284975823"/>
    <n v="26.088055795588268"/>
    <n v="-7.1587255106124452"/>
    <n v="-0.241382503274824"/>
    <n v="-7.4001080138872695"/>
    <n v="0"/>
    <n v="0"/>
    <n v="0"/>
    <n v="-7.4001080138872695"/>
  </r>
  <r>
    <x v="11"/>
    <d v="2021-01-06T00:00:00"/>
    <d v="2021-01-25T00:00:00"/>
    <x v="10"/>
    <n v="9"/>
    <n v="1"/>
    <n v="8.6960185985294221"/>
    <n v="6.3097767616586076"/>
    <n v="6.3097767616586076"/>
    <n v="8.6960185985294221"/>
    <n v="-2.3862418368708145"/>
    <n v="-8.0460834424941341E-2"/>
    <n v="-2.4667026712957556"/>
    <n v="0"/>
    <n v="0"/>
    <n v="0"/>
    <n v="-2.4667026712957556"/>
  </r>
  <r>
    <x v="0"/>
    <d v="2020-02-05T00:00:00"/>
    <d v="2020-02-24T00:00:00"/>
    <x v="11"/>
    <n v="9"/>
    <n v="109"/>
    <n v="8.6960185985294221"/>
    <n v="6.3097767616586076"/>
    <n v="687.76566702078821"/>
    <n v="947.86602723970702"/>
    <n v="-260.10036021891881"/>
    <n v="-8.7702309523186059"/>
    <n v="-268.87059117123744"/>
    <n v="0"/>
    <n v="0"/>
    <n v="0"/>
    <n v="-268.87059117123744"/>
  </r>
  <r>
    <x v="1"/>
    <d v="2020-03-04T00:00:00"/>
    <d v="2020-03-24T00:00:00"/>
    <x v="11"/>
    <n v="9"/>
    <n v="104"/>
    <n v="8.6960185985294221"/>
    <n v="6.3097767616586076"/>
    <n v="656.21678321249522"/>
    <n v="904.38593424705994"/>
    <n v="-248.16915103456472"/>
    <n v="-8.3679267801938995"/>
    <n v="-256.53707781475862"/>
    <n v="0"/>
    <n v="0"/>
    <n v="0"/>
    <n v="-256.53707781475862"/>
  </r>
  <r>
    <x v="2"/>
    <d v="2020-04-03T00:00:00"/>
    <d v="2020-04-24T00:00:00"/>
    <x v="11"/>
    <n v="9"/>
    <n v="87"/>
    <n v="8.6960185985294221"/>
    <n v="6.3097767616586076"/>
    <n v="548.95057826429888"/>
    <n v="756.55361807205975"/>
    <n v="-207.60303980776087"/>
    <n v="-7.000092594969896"/>
    <n v="-214.60313240273075"/>
    <n v="0"/>
    <n v="0"/>
    <n v="0"/>
    <n v="-214.60313240273075"/>
  </r>
  <r>
    <x v="3"/>
    <d v="2020-05-05T00:00:00"/>
    <d v="2020-05-25T00:00:00"/>
    <x v="11"/>
    <n v="9"/>
    <n v="102"/>
    <n v="8.6960185985294221"/>
    <n v="6.3097767616586076"/>
    <n v="643.59722968917799"/>
    <n v="886.99389705000101"/>
    <n v="-243.39666736082302"/>
    <n v="-8.2070051113440172"/>
    <n v="-251.60367247216703"/>
    <n v="0"/>
    <n v="0"/>
    <n v="0"/>
    <n v="-251.60367247216703"/>
  </r>
  <r>
    <x v="4"/>
    <d v="2020-06-03T00:00:00"/>
    <d v="2020-06-24T00:00:00"/>
    <x v="11"/>
    <n v="9"/>
    <n v="92"/>
    <n v="8.6960185985294221"/>
    <n v="6.3097767616586076"/>
    <n v="580.49946207259188"/>
    <n v="800.03371106470684"/>
    <n v="-219.53424899211495"/>
    <n v="-7.4023967670946025"/>
    <n v="-226.93664575920957"/>
    <n v="0"/>
    <n v="0"/>
    <n v="0"/>
    <n v="-226.93664575920957"/>
  </r>
  <r>
    <x v="5"/>
    <d v="2020-07-03T00:00:00"/>
    <d v="2020-07-24T00:00:00"/>
    <x v="11"/>
    <n v="9"/>
    <n v="143"/>
    <n v="8.6960185985294221"/>
    <n v="6.3097767616586076"/>
    <n v="902.29807691718088"/>
    <n v="1243.5306595897073"/>
    <n v="-341.23258267252641"/>
    <n v="-11.505899322766611"/>
    <n v="-352.738481995293"/>
    <n v="0"/>
    <n v="0"/>
    <n v="0"/>
    <n v="-352.738481995293"/>
  </r>
  <r>
    <x v="6"/>
    <d v="2020-08-05T00:00:00"/>
    <d v="2020-08-24T00:00:00"/>
    <x v="11"/>
    <n v="9"/>
    <n v="138"/>
    <n v="8.6960185985294221"/>
    <n v="6.3097767616586076"/>
    <n v="870.74919310888788"/>
    <n v="1200.0505665970602"/>
    <n v="-329.30137348817232"/>
    <n v="-11.103595150641905"/>
    <n v="-340.40496863881424"/>
    <n v="0"/>
    <n v="0"/>
    <n v="0"/>
    <n v="-340.40496863881424"/>
  </r>
  <r>
    <x v="7"/>
    <d v="2020-09-03T00:00:00"/>
    <d v="2020-09-24T00:00:00"/>
    <x v="11"/>
    <n v="9"/>
    <n v="152"/>
    <n v="8.6960185985294221"/>
    <n v="6.3097767616586076"/>
    <n v="959.08606777210832"/>
    <n v="1321.7948269764722"/>
    <n v="-362.7087592043639"/>
    <n v="-12.230046832591084"/>
    <n v="-374.93880603695499"/>
    <n v="0"/>
    <n v="0"/>
    <n v="0"/>
    <n v="-374.93880603695499"/>
  </r>
  <r>
    <x v="8"/>
    <d v="2020-10-05T00:00:00"/>
    <d v="2020-10-26T00:00:00"/>
    <x v="11"/>
    <n v="9"/>
    <n v="136"/>
    <n v="8.6960185985294221"/>
    <n v="6.3097767616586076"/>
    <n v="858.12963958557066"/>
    <n v="1182.6585294000015"/>
    <n v="-324.52888981443084"/>
    <n v="-10.942673481792022"/>
    <n v="-335.47156329622288"/>
    <n v="0"/>
    <n v="0"/>
    <n v="0"/>
    <n v="-335.47156329622288"/>
  </r>
  <r>
    <x v="9"/>
    <d v="2020-11-04T00:00:00"/>
    <d v="2020-11-24T00:00:00"/>
    <x v="11"/>
    <n v="9"/>
    <n v="107"/>
    <n v="8.6960185985294221"/>
    <n v="6.3097767616586076"/>
    <n v="675.14611349747099"/>
    <n v="930.47399004264821"/>
    <n v="-255.32787654517722"/>
    <n v="-8.6093092834687237"/>
    <n v="-263.93718582864597"/>
    <n v="0"/>
    <n v="0"/>
    <n v="0"/>
    <n v="-263.93718582864597"/>
  </r>
  <r>
    <x v="10"/>
    <d v="2020-12-03T00:00:00"/>
    <d v="2020-12-24T00:00:00"/>
    <x v="11"/>
    <n v="9"/>
    <n v="95"/>
    <n v="8.6960185985294221"/>
    <n v="6.3097767616586076"/>
    <n v="599.42879235756777"/>
    <n v="826.12176686029511"/>
    <n v="-226.69297450272734"/>
    <n v="-7.6437792703694267"/>
    <n v="-234.33675377309677"/>
    <n v="0"/>
    <n v="0"/>
    <n v="0"/>
    <n v="-234.33675377309677"/>
  </r>
  <r>
    <x v="11"/>
    <d v="2021-01-06T00:00:00"/>
    <d v="2021-01-25T00:00:00"/>
    <x v="11"/>
    <n v="9"/>
    <n v="99"/>
    <n v="8.6960185985294221"/>
    <n v="6.3097767616586076"/>
    <n v="624.6678994042021"/>
    <n v="860.90584125441273"/>
    <n v="-236.23794185021063"/>
    <n v="-7.9656226080691921"/>
    <n v="-244.20356445827983"/>
    <n v="0"/>
    <n v="0"/>
    <n v="0"/>
    <n v="-244.20356445827983"/>
  </r>
  <r>
    <x v="0"/>
    <d v="2020-02-05T00:00:00"/>
    <d v="2020-02-24T00:00:00"/>
    <x v="12"/>
    <n v="9"/>
    <n v="11"/>
    <n v="8.6960185985294221"/>
    <n v="6.3097767616586076"/>
    <n v="69.40754437824468"/>
    <n v="95.656204583823637"/>
    <n v="-26.248660205578958"/>
    <n v="-0.88506917867435475"/>
    <n v="-27.133729384253311"/>
    <n v="0"/>
    <n v="0"/>
    <n v="0"/>
    <n v="-27.133729384253311"/>
  </r>
  <r>
    <x v="1"/>
    <d v="2020-03-04T00:00:00"/>
    <d v="2020-03-24T00:00:00"/>
    <x v="12"/>
    <n v="9"/>
    <n v="10"/>
    <n v="8.6960185985294221"/>
    <n v="6.3097767616586076"/>
    <n v="63.097767616586076"/>
    <n v="86.960185985294217"/>
    <n v="-23.862418368708141"/>
    <n v="-0.80460834424941341"/>
    <n v="-24.667026712957554"/>
    <n v="0"/>
    <n v="0"/>
    <n v="0"/>
    <n v="-24.667026712957554"/>
  </r>
  <r>
    <x v="2"/>
    <d v="2020-04-03T00:00:00"/>
    <d v="2020-04-24T00:00:00"/>
    <x v="12"/>
    <n v="9"/>
    <n v="10"/>
    <n v="8.6960185985294221"/>
    <n v="6.3097767616586076"/>
    <n v="63.097767616586076"/>
    <n v="86.960185985294217"/>
    <n v="-23.862418368708141"/>
    <n v="-0.80460834424941341"/>
    <n v="-24.667026712957554"/>
    <n v="0"/>
    <n v="0"/>
    <n v="0"/>
    <n v="-24.667026712957554"/>
  </r>
  <r>
    <x v="3"/>
    <d v="2020-05-05T00:00:00"/>
    <d v="2020-05-25T00:00:00"/>
    <x v="12"/>
    <n v="9"/>
    <n v="7"/>
    <n v="8.6960185985294221"/>
    <n v="6.3097767616586076"/>
    <n v="44.168437331610249"/>
    <n v="60.872130189705956"/>
    <n v="-16.703692858095707"/>
    <n v="-0.56322584097458939"/>
    <n v="-17.266918699070295"/>
    <n v="0"/>
    <n v="0"/>
    <n v="0"/>
    <n v="-17.266918699070295"/>
  </r>
  <r>
    <x v="4"/>
    <d v="2020-06-03T00:00:00"/>
    <d v="2020-06-24T00:00:00"/>
    <x v="12"/>
    <n v="9"/>
    <n v="13"/>
    <n v="8.6960185985294221"/>
    <n v="6.3097767616586076"/>
    <n v="82.027097901561902"/>
    <n v="113.04824178088249"/>
    <n v="-31.02114387932059"/>
    <n v="-1.0459908475242374"/>
    <n v="-32.067134726844827"/>
    <n v="0"/>
    <n v="0"/>
    <n v="0"/>
    <n v="-32.067134726844827"/>
  </r>
  <r>
    <x v="5"/>
    <d v="2020-07-03T00:00:00"/>
    <d v="2020-07-24T00:00:00"/>
    <x v="12"/>
    <n v="9"/>
    <n v="12"/>
    <n v="8.6960185985294221"/>
    <n v="6.3097767616586076"/>
    <n v="75.717321139903291"/>
    <n v="104.35222318235307"/>
    <n v="-28.634902042449781"/>
    <n v="-0.96553001309929598"/>
    <n v="-29.600432055549078"/>
    <n v="0"/>
    <n v="0"/>
    <n v="0"/>
    <n v="-29.600432055549078"/>
  </r>
  <r>
    <x v="6"/>
    <d v="2020-08-05T00:00:00"/>
    <d v="2020-08-24T00:00:00"/>
    <x v="12"/>
    <n v="9"/>
    <n v="15"/>
    <n v="8.6960185985294221"/>
    <n v="6.3097767616586076"/>
    <n v="94.64665142487911"/>
    <n v="130.44027897794132"/>
    <n v="-35.793627553062208"/>
    <n v="-1.2069125163741201"/>
    <n v="-37.000540069436326"/>
    <n v="0"/>
    <n v="0"/>
    <n v="0"/>
    <n v="-37.000540069436326"/>
  </r>
  <r>
    <x v="7"/>
    <d v="2020-09-03T00:00:00"/>
    <d v="2020-09-24T00:00:00"/>
    <x v="12"/>
    <n v="9"/>
    <n v="12"/>
    <n v="8.6960185985294221"/>
    <n v="6.3097767616586076"/>
    <n v="75.717321139903291"/>
    <n v="104.35222318235307"/>
    <n v="-28.634902042449781"/>
    <n v="-0.96553001309929598"/>
    <n v="-29.600432055549078"/>
    <n v="0"/>
    <n v="0"/>
    <n v="0"/>
    <n v="-29.600432055549078"/>
  </r>
  <r>
    <x v="8"/>
    <d v="2020-10-05T00:00:00"/>
    <d v="2020-10-26T00:00:00"/>
    <x v="12"/>
    <n v="9"/>
    <n v="14"/>
    <n v="8.6960185985294221"/>
    <n v="6.3097767616586076"/>
    <n v="88.336874663220499"/>
    <n v="121.74426037941191"/>
    <n v="-33.407385716191413"/>
    <n v="-1.1264516819491788"/>
    <n v="-34.533837398140591"/>
    <n v="0"/>
    <n v="0"/>
    <n v="0"/>
    <n v="-34.533837398140591"/>
  </r>
  <r>
    <x v="9"/>
    <d v="2020-11-04T00:00:00"/>
    <d v="2020-11-24T00:00:00"/>
    <x v="12"/>
    <n v="9"/>
    <n v="11"/>
    <n v="8.6960185985294221"/>
    <n v="6.3097767616586076"/>
    <n v="69.40754437824468"/>
    <n v="95.656204583823637"/>
    <n v="-26.248660205578958"/>
    <n v="-0.88506917867435475"/>
    <n v="-27.133729384253311"/>
    <n v="0"/>
    <n v="0"/>
    <n v="0"/>
    <n v="-27.133729384253311"/>
  </r>
  <r>
    <x v="10"/>
    <d v="2020-12-03T00:00:00"/>
    <d v="2020-12-24T00:00:00"/>
    <x v="12"/>
    <n v="9"/>
    <n v="9"/>
    <n v="8.6960185985294221"/>
    <n v="6.3097767616586076"/>
    <n v="56.787990854927472"/>
    <n v="78.264167386764797"/>
    <n v="-21.476176531837325"/>
    <n v="-0.72414750982447207"/>
    <n v="-22.200324041661798"/>
    <n v="0"/>
    <n v="0"/>
    <n v="0"/>
    <n v="-22.200324041661798"/>
  </r>
  <r>
    <x v="11"/>
    <d v="2021-01-06T00:00:00"/>
    <d v="2021-01-25T00:00:00"/>
    <x v="12"/>
    <n v="9"/>
    <n v="8"/>
    <n v="8.6960185985294221"/>
    <n v="6.3097767616586076"/>
    <n v="50.478214093268861"/>
    <n v="69.568148788235376"/>
    <n v="-19.089934694966516"/>
    <n v="-0.64368667539953073"/>
    <n v="-19.733621370366045"/>
    <n v="0"/>
    <n v="0"/>
    <n v="0"/>
    <n v="-19.733621370366045"/>
  </r>
  <r>
    <x v="0"/>
    <d v="2020-02-05T00:00:00"/>
    <d v="2020-02-24T00:00:00"/>
    <x v="13"/>
    <n v="9"/>
    <n v="20"/>
    <n v="8.6960185985294221"/>
    <n v="6.3097767616586076"/>
    <n v="126.19553523317215"/>
    <n v="173.92037197058843"/>
    <n v="-47.724836737416283"/>
    <n v="-1.6092166884988268"/>
    <n v="-49.334053425915108"/>
    <n v="0"/>
    <n v="0"/>
    <n v="0"/>
    <n v="-49.334053425915108"/>
  </r>
  <r>
    <x v="1"/>
    <d v="2020-03-04T00:00:00"/>
    <d v="2020-03-24T00:00:00"/>
    <x v="13"/>
    <n v="9"/>
    <n v="19"/>
    <n v="8.6960185985294221"/>
    <n v="6.3097767616586076"/>
    <n v="119.88575847151354"/>
    <n v="165.22435337205903"/>
    <n v="-45.338594900545488"/>
    <n v="-1.5287558540738855"/>
    <n v="-46.867350754619373"/>
    <n v="0"/>
    <n v="0"/>
    <n v="0"/>
    <n v="-46.867350754619373"/>
  </r>
  <r>
    <x v="2"/>
    <d v="2020-04-03T00:00:00"/>
    <d v="2020-04-24T00:00:00"/>
    <x v="13"/>
    <n v="9"/>
    <n v="19"/>
    <n v="8.6960185985294221"/>
    <n v="6.3097767616586076"/>
    <n v="119.88575847151354"/>
    <n v="165.22435337205903"/>
    <n v="-45.338594900545488"/>
    <n v="-1.5287558540738855"/>
    <n v="-46.867350754619373"/>
    <n v="0"/>
    <n v="0"/>
    <n v="0"/>
    <n v="-46.867350754619373"/>
  </r>
  <r>
    <x v="3"/>
    <d v="2020-05-05T00:00:00"/>
    <d v="2020-05-25T00:00:00"/>
    <x v="13"/>
    <n v="9"/>
    <n v="21"/>
    <n v="8.6960185985294221"/>
    <n v="6.3097767616586076"/>
    <n v="132.50531199483075"/>
    <n v="182.61639056911787"/>
    <n v="-50.11107857428712"/>
    <n v="-1.6896775229237679"/>
    <n v="-51.800756097210886"/>
    <n v="0"/>
    <n v="0"/>
    <n v="0"/>
    <n v="-51.800756097210886"/>
  </r>
  <r>
    <x v="4"/>
    <d v="2020-06-03T00:00:00"/>
    <d v="2020-06-24T00:00:00"/>
    <x v="13"/>
    <n v="9"/>
    <n v="23"/>
    <n v="8.6960185985294221"/>
    <n v="6.3097767616586076"/>
    <n v="145.12486551814797"/>
    <n v="200.00842776617671"/>
    <n v="-54.883562248028738"/>
    <n v="-1.8505991917736506"/>
    <n v="-56.734161439802392"/>
    <n v="0"/>
    <n v="0"/>
    <n v="0"/>
    <n v="-56.734161439802392"/>
  </r>
  <r>
    <x v="5"/>
    <d v="2020-07-03T00:00:00"/>
    <d v="2020-07-24T00:00:00"/>
    <x v="13"/>
    <n v="9"/>
    <n v="29"/>
    <n v="8.6960185985294221"/>
    <n v="6.3097767616586076"/>
    <n v="182.98352608809961"/>
    <n v="252.18453935735323"/>
    <n v="-69.201013269253622"/>
    <n v="-2.3333641983232987"/>
    <n v="-71.534377467576917"/>
    <n v="0"/>
    <n v="0"/>
    <n v="0"/>
    <n v="-71.534377467576917"/>
  </r>
  <r>
    <x v="6"/>
    <d v="2020-08-05T00:00:00"/>
    <d v="2020-08-24T00:00:00"/>
    <x v="13"/>
    <n v="9"/>
    <n v="33"/>
    <n v="8.6960185985294221"/>
    <n v="6.3097767616586076"/>
    <n v="208.22263313473405"/>
    <n v="286.96861375147091"/>
    <n v="-78.745980616736858"/>
    <n v="-2.655207536023064"/>
    <n v="-81.401188152759929"/>
    <n v="0"/>
    <n v="0"/>
    <n v="0"/>
    <n v="-81.401188152759929"/>
  </r>
  <r>
    <x v="7"/>
    <d v="2020-09-03T00:00:00"/>
    <d v="2020-09-24T00:00:00"/>
    <x v="13"/>
    <n v="9"/>
    <n v="34"/>
    <n v="8.6960185985294221"/>
    <n v="6.3097767616586076"/>
    <n v="214.53240989639266"/>
    <n v="295.66463235000037"/>
    <n v="-81.13222245360771"/>
    <n v="-2.7356683704480056"/>
    <n v="-83.867890824055721"/>
    <n v="0"/>
    <n v="0"/>
    <n v="0"/>
    <n v="-83.867890824055721"/>
  </r>
  <r>
    <x v="8"/>
    <d v="2020-10-05T00:00:00"/>
    <d v="2020-10-26T00:00:00"/>
    <x v="13"/>
    <n v="9"/>
    <n v="30"/>
    <n v="8.6960185985294221"/>
    <n v="6.3097767616586076"/>
    <n v="189.29330284975822"/>
    <n v="260.88055795588264"/>
    <n v="-71.587255106124417"/>
    <n v="-2.4138250327482402"/>
    <n v="-74.001080138872652"/>
    <n v="0"/>
    <n v="0"/>
    <n v="0"/>
    <n v="-74.001080138872652"/>
  </r>
  <r>
    <x v="9"/>
    <d v="2020-11-04T00:00:00"/>
    <d v="2020-11-24T00:00:00"/>
    <x v="13"/>
    <n v="9"/>
    <n v="21"/>
    <n v="8.6960185985294221"/>
    <n v="6.3097767616586076"/>
    <n v="132.50531199483075"/>
    <n v="182.61639056911787"/>
    <n v="-50.11107857428712"/>
    <n v="-1.6896775229237679"/>
    <n v="-51.800756097210886"/>
    <n v="0"/>
    <n v="0"/>
    <n v="0"/>
    <n v="-51.800756097210886"/>
  </r>
  <r>
    <x v="10"/>
    <d v="2020-12-03T00:00:00"/>
    <d v="2020-12-24T00:00:00"/>
    <x v="13"/>
    <n v="9"/>
    <n v="16"/>
    <n v="8.6960185985294221"/>
    <n v="6.3097767616586076"/>
    <n v="100.95642818653772"/>
    <n v="139.13629757647075"/>
    <n v="-38.179869389933032"/>
    <n v="-1.2873733507990615"/>
    <n v="-39.46724274073209"/>
    <n v="0"/>
    <n v="0"/>
    <n v="0"/>
    <n v="-39.46724274073209"/>
  </r>
  <r>
    <x v="11"/>
    <d v="2021-01-06T00:00:00"/>
    <d v="2021-01-25T00:00:00"/>
    <x v="13"/>
    <n v="9"/>
    <n v="19"/>
    <n v="8.6960185985294221"/>
    <n v="6.3097767616586076"/>
    <n v="119.88575847151354"/>
    <n v="165.22435337205903"/>
    <n v="-45.338594900545488"/>
    <n v="-1.5287558540738855"/>
    <n v="-46.867350754619373"/>
    <n v="0"/>
    <n v="0"/>
    <n v="0"/>
    <n v="-46.867350754619373"/>
  </r>
  <r>
    <x v="0"/>
    <d v="2020-02-05T00:00:00"/>
    <d v="2020-02-24T00:00:00"/>
    <x v="14"/>
    <n v="9"/>
    <n v="35"/>
    <n v="8.6960185985294221"/>
    <n v="6.3097767616586076"/>
    <n v="220.84218665805128"/>
    <n v="304.36065094852978"/>
    <n v="-83.518464290478505"/>
    <n v="-2.8161292048729467"/>
    <n v="-86.334593495351456"/>
    <n v="0"/>
    <n v="0"/>
    <n v="0"/>
    <n v="-86.334593495351456"/>
  </r>
  <r>
    <x v="1"/>
    <d v="2020-03-04T00:00:00"/>
    <d v="2020-03-24T00:00:00"/>
    <x v="14"/>
    <n v="9"/>
    <n v="34"/>
    <n v="8.6960185985294221"/>
    <n v="6.3097767616586076"/>
    <n v="214.53240989639266"/>
    <n v="295.66463235000037"/>
    <n v="-81.13222245360771"/>
    <n v="-2.7356683704480056"/>
    <n v="-83.867890824055721"/>
    <n v="0"/>
    <n v="0"/>
    <n v="0"/>
    <n v="-83.867890824055721"/>
  </r>
  <r>
    <x v="2"/>
    <d v="2020-04-03T00:00:00"/>
    <d v="2020-04-24T00:00:00"/>
    <x v="14"/>
    <n v="9"/>
    <n v="30"/>
    <n v="8.6960185985294221"/>
    <n v="6.3097767616586076"/>
    <n v="189.29330284975822"/>
    <n v="260.88055795588264"/>
    <n v="-71.587255106124417"/>
    <n v="-2.4138250327482402"/>
    <n v="-74.001080138872652"/>
    <n v="0"/>
    <n v="0"/>
    <n v="0"/>
    <n v="-74.001080138872652"/>
  </r>
  <r>
    <x v="3"/>
    <d v="2020-05-05T00:00:00"/>
    <d v="2020-05-25T00:00:00"/>
    <x v="14"/>
    <n v="9"/>
    <n v="32"/>
    <n v="8.6960185985294221"/>
    <n v="6.3097767616586076"/>
    <n v="201.91285637307544"/>
    <n v="278.27259515294151"/>
    <n v="-76.359738779866063"/>
    <n v="-2.5747467015981229"/>
    <n v="-78.934485481464179"/>
    <n v="0"/>
    <n v="0"/>
    <n v="0"/>
    <n v="-78.934485481464179"/>
  </r>
  <r>
    <x v="4"/>
    <d v="2020-06-03T00:00:00"/>
    <d v="2020-06-24T00:00:00"/>
    <x v="14"/>
    <n v="9"/>
    <n v="36"/>
    <n v="8.6960185985294221"/>
    <n v="6.3097767616586076"/>
    <n v="227.15196341970989"/>
    <n v="313.05666954705919"/>
    <n v="-85.9047061273493"/>
    <n v="-2.8965900392978883"/>
    <n v="-88.801296166647191"/>
    <n v="0"/>
    <n v="0"/>
    <n v="0"/>
    <n v="-88.801296166647191"/>
  </r>
  <r>
    <x v="5"/>
    <d v="2020-07-03T00:00:00"/>
    <d v="2020-07-24T00:00:00"/>
    <x v="14"/>
    <n v="9"/>
    <n v="42"/>
    <n v="8.6960185985294221"/>
    <n v="6.3097767616586076"/>
    <n v="265.0106239896615"/>
    <n v="365.23278113823574"/>
    <n v="-100.22215714857424"/>
    <n v="-3.3793550458475359"/>
    <n v="-103.60151219442177"/>
    <n v="0"/>
    <n v="0"/>
    <n v="0"/>
    <n v="-103.60151219442177"/>
  </r>
  <r>
    <x v="6"/>
    <d v="2020-08-05T00:00:00"/>
    <d v="2020-08-24T00:00:00"/>
    <x v="14"/>
    <n v="9"/>
    <n v="47"/>
    <n v="8.6960185985294221"/>
    <n v="6.3097767616586076"/>
    <n v="296.55950779795455"/>
    <n v="408.71287413088282"/>
    <n v="-112.15336633292827"/>
    <n v="-3.7816592179722432"/>
    <n v="-115.93502555090052"/>
    <n v="0"/>
    <n v="0"/>
    <n v="0"/>
    <n v="-115.93502555090052"/>
  </r>
  <r>
    <x v="7"/>
    <d v="2020-09-03T00:00:00"/>
    <d v="2020-09-24T00:00:00"/>
    <x v="14"/>
    <n v="9"/>
    <n v="48"/>
    <n v="8.6960185985294221"/>
    <n v="6.3097767616586076"/>
    <n v="302.86928455961316"/>
    <n v="417.40889272941229"/>
    <n v="-114.53960816979912"/>
    <n v="-3.8621200523971839"/>
    <n v="-118.40172822219631"/>
    <n v="0"/>
    <n v="0"/>
    <n v="0"/>
    <n v="-118.40172822219631"/>
  </r>
  <r>
    <x v="8"/>
    <d v="2020-10-05T00:00:00"/>
    <d v="2020-10-26T00:00:00"/>
    <x v="14"/>
    <n v="9"/>
    <n v="44"/>
    <n v="8.6960185985294221"/>
    <n v="6.3097767616586076"/>
    <n v="277.63017751297872"/>
    <n v="382.62481833529455"/>
    <n v="-104.99464082231583"/>
    <n v="-3.540276714697419"/>
    <n v="-108.53491753701324"/>
    <n v="0"/>
    <n v="0"/>
    <n v="0"/>
    <n v="-108.53491753701324"/>
  </r>
  <r>
    <x v="9"/>
    <d v="2020-11-04T00:00:00"/>
    <d v="2020-11-24T00:00:00"/>
    <x v="14"/>
    <n v="9"/>
    <n v="30"/>
    <n v="8.6960185985294221"/>
    <n v="6.3097767616586076"/>
    <n v="189.29330284975822"/>
    <n v="260.88055795588264"/>
    <n v="-71.587255106124417"/>
    <n v="-2.4138250327482402"/>
    <n v="-74.001080138872652"/>
    <n v="0"/>
    <n v="0"/>
    <n v="0"/>
    <n v="-74.001080138872652"/>
  </r>
  <r>
    <x v="10"/>
    <d v="2020-12-03T00:00:00"/>
    <d v="2020-12-24T00:00:00"/>
    <x v="14"/>
    <n v="9"/>
    <n v="31"/>
    <n v="8.6960185985294221"/>
    <n v="6.3097767616586076"/>
    <n v="195.60307961141683"/>
    <n v="269.5765765544121"/>
    <n v="-73.973496942995268"/>
    <n v="-2.4942858671731813"/>
    <n v="-76.467782810168444"/>
    <n v="0"/>
    <n v="0"/>
    <n v="0"/>
    <n v="-76.467782810168444"/>
  </r>
  <r>
    <x v="11"/>
    <d v="2021-01-06T00:00:00"/>
    <d v="2021-01-25T00:00:00"/>
    <x v="14"/>
    <n v="9"/>
    <n v="34"/>
    <n v="8.6960185985294221"/>
    <n v="6.3097767616586076"/>
    <n v="214.53240989639266"/>
    <n v="295.66463235000037"/>
    <n v="-81.13222245360771"/>
    <n v="-2.7356683704480056"/>
    <n v="-83.867890824055721"/>
    <n v="0"/>
    <n v="0"/>
    <n v="0"/>
    <n v="-83.867890824055721"/>
  </r>
  <r>
    <x v="0"/>
    <d v="2020-02-05T00:00:00"/>
    <d v="2020-02-24T00:00:00"/>
    <x v="15"/>
    <n v="9"/>
    <n v="106"/>
    <n v="8.6960185985294221"/>
    <n v="6.3097767616586076"/>
    <n v="668.83633673581244"/>
    <n v="921.77797144411875"/>
    <n v="-252.94163470830631"/>
    <n v="-8.5288484490437817"/>
    <n v="-261.47048315735009"/>
    <n v="0"/>
    <n v="0"/>
    <n v="0"/>
    <n v="-261.47048315735009"/>
  </r>
  <r>
    <x v="1"/>
    <d v="2020-03-04T00:00:00"/>
    <d v="2020-03-24T00:00:00"/>
    <x v="15"/>
    <n v="9"/>
    <n v="103"/>
    <n v="8.6960185985294221"/>
    <n v="6.3097767616586076"/>
    <n v="649.90700645083655"/>
    <n v="895.68991564853047"/>
    <n v="-245.78290919769393"/>
    <n v="-8.2874659457689575"/>
    <n v="-254.07037514346288"/>
    <n v="0"/>
    <n v="0"/>
    <n v="0"/>
    <n v="-254.07037514346288"/>
  </r>
  <r>
    <x v="2"/>
    <d v="2020-04-03T00:00:00"/>
    <d v="2020-04-24T00:00:00"/>
    <x v="15"/>
    <n v="9"/>
    <n v="26"/>
    <n v="8.6960185985294221"/>
    <n v="6.3097767616586076"/>
    <n v="164.0541958031238"/>
    <n v="226.09648356176498"/>
    <n v="-62.04228775864118"/>
    <n v="-2.0919816950484749"/>
    <n v="-64.134269453689654"/>
    <n v="0"/>
    <n v="0"/>
    <n v="0"/>
    <n v="-64.134269453689654"/>
  </r>
  <r>
    <x v="3"/>
    <d v="2020-05-05T00:00:00"/>
    <d v="2020-05-25T00:00:00"/>
    <x v="15"/>
    <n v="9"/>
    <n v="97"/>
    <n v="8.6960185985294221"/>
    <n v="6.3097767616586076"/>
    <n v="612.04834588088488"/>
    <n v="843.51380405735392"/>
    <n v="-231.46545817646904"/>
    <n v="-7.804700939219309"/>
    <n v="-239.27015911568836"/>
    <n v="0"/>
    <n v="0"/>
    <n v="0"/>
    <n v="-239.27015911568836"/>
  </r>
  <r>
    <x v="4"/>
    <d v="2020-06-03T00:00:00"/>
    <d v="2020-06-24T00:00:00"/>
    <x v="15"/>
    <n v="9"/>
    <n v="80"/>
    <n v="8.6960185985294221"/>
    <n v="6.3097767616586076"/>
    <n v="504.78214093268861"/>
    <n v="695.68148788235374"/>
    <n v="-190.89934694966513"/>
    <n v="-6.4368667539953073"/>
    <n v="-197.33621370366043"/>
    <n v="0"/>
    <n v="0"/>
    <n v="0"/>
    <n v="-197.33621370366043"/>
  </r>
  <r>
    <x v="5"/>
    <d v="2020-07-03T00:00:00"/>
    <d v="2020-07-24T00:00:00"/>
    <x v="15"/>
    <n v="9"/>
    <n v="99"/>
    <n v="8.6960185985294221"/>
    <n v="6.3097767616586076"/>
    <n v="624.6678994042021"/>
    <n v="860.90584125441273"/>
    <n v="-236.23794185021063"/>
    <n v="-7.9656226080691921"/>
    <n v="-244.20356445827983"/>
    <n v="0"/>
    <n v="0"/>
    <n v="0"/>
    <n v="-244.20356445827983"/>
  </r>
  <r>
    <x v="6"/>
    <d v="2020-08-05T00:00:00"/>
    <d v="2020-08-24T00:00:00"/>
    <x v="15"/>
    <n v="9"/>
    <n v="111"/>
    <n v="8.6960185985294221"/>
    <n v="6.3097767616586076"/>
    <n v="700.38522054410544"/>
    <n v="965.25806443676584"/>
    <n v="-264.8728438926604"/>
    <n v="-8.9311526211684882"/>
    <n v="-273.80399651382891"/>
    <n v="0"/>
    <n v="0"/>
    <n v="0"/>
    <n v="-273.80399651382891"/>
  </r>
  <r>
    <x v="7"/>
    <d v="2020-09-03T00:00:00"/>
    <d v="2020-09-24T00:00:00"/>
    <x v="15"/>
    <n v="9"/>
    <n v="112"/>
    <n v="8.6960185985294221"/>
    <n v="6.3097767616586076"/>
    <n v="706.69499730576399"/>
    <n v="973.9540830352953"/>
    <n v="-267.25908572953131"/>
    <n v="-9.0116134555934302"/>
    <n v="-276.27069918512473"/>
    <n v="0"/>
    <n v="0"/>
    <n v="0"/>
    <n v="-276.27069918512473"/>
  </r>
  <r>
    <x v="8"/>
    <d v="2020-10-05T00:00:00"/>
    <d v="2020-10-26T00:00:00"/>
    <x v="15"/>
    <n v="9"/>
    <n v="114"/>
    <n v="8.6960185985294221"/>
    <n v="6.3097767616586076"/>
    <n v="719.31455082908121"/>
    <n v="991.34612023235411"/>
    <n v="-272.0315694032729"/>
    <n v="-9.1725351244433124"/>
    <n v="-281.2041045277162"/>
    <n v="0"/>
    <n v="0"/>
    <n v="0"/>
    <n v="-281.2041045277162"/>
  </r>
  <r>
    <x v="9"/>
    <d v="2020-11-04T00:00:00"/>
    <d v="2020-11-24T00:00:00"/>
    <x v="15"/>
    <n v="9"/>
    <n v="96"/>
    <n v="8.6960185985294221"/>
    <n v="6.3097767616586076"/>
    <n v="605.73856911922633"/>
    <n v="834.81778545882457"/>
    <n v="-229.07921633959825"/>
    <n v="-7.7242401047943678"/>
    <n v="-236.80345644439262"/>
    <n v="0"/>
    <n v="0"/>
    <n v="0"/>
    <n v="-236.80345644439262"/>
  </r>
  <r>
    <x v="10"/>
    <d v="2020-12-03T00:00:00"/>
    <d v="2020-12-24T00:00:00"/>
    <x v="15"/>
    <n v="9"/>
    <n v="100"/>
    <n v="8.6960185985294221"/>
    <n v="6.3097767616586076"/>
    <n v="630.97767616586077"/>
    <n v="869.6018598529422"/>
    <n v="-238.62418368708143"/>
    <n v="-8.0460834424941332"/>
    <n v="-246.67026712957556"/>
    <n v="0"/>
    <n v="0"/>
    <n v="0"/>
    <n v="-246.67026712957556"/>
  </r>
  <r>
    <x v="11"/>
    <d v="2021-01-06T00:00:00"/>
    <d v="2021-01-25T00:00:00"/>
    <x v="15"/>
    <n v="9"/>
    <n v="105"/>
    <n v="8.6960185985294221"/>
    <n v="6.3097767616586076"/>
    <n v="662.52655997415377"/>
    <n v="913.08195284558929"/>
    <n v="-250.55539287143552"/>
    <n v="-8.4483876146188415"/>
    <n v="-259.00378048605438"/>
    <n v="0"/>
    <n v="0"/>
    <n v="0"/>
    <n v="-259.003780486054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22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33">
        <item m="1" x="49"/>
        <item m="1" x="69"/>
        <item m="1" x="89"/>
        <item m="1" x="109"/>
        <item m="1" x="129"/>
        <item m="1" x="29"/>
        <item m="1" x="59"/>
        <item m="1" x="79"/>
        <item m="1" x="99"/>
        <item m="1" x="119"/>
        <item m="1" x="19"/>
        <item m="1" x="39"/>
        <item m="1" x="50"/>
        <item m="1" x="70"/>
        <item m="1" x="90"/>
        <item m="1" x="110"/>
        <item m="1" x="130"/>
        <item m="1" x="30"/>
        <item m="1" x="60"/>
        <item m="1" x="80"/>
        <item m="1" x="100"/>
        <item m="1" x="120"/>
        <item m="1" x="20"/>
        <item m="1" x="40"/>
        <item m="1" x="51"/>
        <item m="1" x="71"/>
        <item m="1" x="91"/>
        <item m="1" x="111"/>
        <item m="1" x="131"/>
        <item m="1" x="31"/>
        <item m="1" x="61"/>
        <item m="1" x="81"/>
        <item m="1" x="101"/>
        <item m="1" x="121"/>
        <item m="1" x="21"/>
        <item m="1" x="41"/>
        <item m="1" x="52"/>
        <item m="1" x="72"/>
        <item m="1" x="92"/>
        <item m="1" x="112"/>
        <item m="1" x="12"/>
        <item m="1" x="32"/>
        <item m="1" x="62"/>
        <item m="1" x="82"/>
        <item m="1" x="102"/>
        <item m="1" x="122"/>
        <item m="1" x="22"/>
        <item m="1" x="42"/>
        <item m="1" x="53"/>
        <item m="1" x="73"/>
        <item m="1" x="93"/>
        <item m="1" x="113"/>
        <item m="1" x="13"/>
        <item m="1" x="33"/>
        <item m="1" x="63"/>
        <item m="1" x="83"/>
        <item m="1" x="103"/>
        <item m="1" x="123"/>
        <item m="1" x="23"/>
        <item m="1" x="43"/>
        <item m="1" x="54"/>
        <item m="1" x="74"/>
        <item m="1" x="94"/>
        <item m="1" x="114"/>
        <item m="1" x="14"/>
        <item m="1" x="34"/>
        <item m="1" x="64"/>
        <item m="1" x="84"/>
        <item m="1" x="104"/>
        <item m="1" x="124"/>
        <item m="1" x="24"/>
        <item m="1" x="44"/>
        <item m="1" x="55"/>
        <item m="1" x="75"/>
        <item m="1" x="95"/>
        <item m="1" x="115"/>
        <item m="1" x="15"/>
        <item m="1" x="35"/>
        <item m="1" x="65"/>
        <item m="1" x="85"/>
        <item m="1" x="105"/>
        <item m="1" x="125"/>
        <item m="1" x="25"/>
        <item m="1" x="45"/>
        <item m="1" x="56"/>
        <item m="1" x="76"/>
        <item m="1" x="96"/>
        <item m="1" x="116"/>
        <item m="1" x="16"/>
        <item m="1" x="36"/>
        <item m="1" x="66"/>
        <item m="1" x="86"/>
        <item m="1" x="106"/>
        <item m="1" x="126"/>
        <item m="1" x="26"/>
        <item m="1" x="46"/>
        <item m="1" x="57"/>
        <item m="1" x="77"/>
        <item m="1" x="97"/>
        <item m="1" x="117"/>
        <item m="1" x="17"/>
        <item m="1" x="37"/>
        <item m="1" x="67"/>
        <item m="1" x="87"/>
        <item m="1" x="107"/>
        <item m="1" x="127"/>
        <item m="1" x="27"/>
        <item m="1" x="47"/>
        <item m="1" x="58"/>
        <item m="1" x="78"/>
        <item m="1" x="98"/>
        <item m="1" x="118"/>
        <item m="1" x="18"/>
        <item m="1" x="38"/>
        <item m="1" x="68"/>
        <item m="1" x="88"/>
        <item m="1" x="108"/>
        <item m="1" x="128"/>
        <item m="1" x="28"/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7" sqref="D7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62</v>
      </c>
    </row>
    <row r="3" spans="1:2" x14ac:dyDescent="0.25">
      <c r="A3" s="2">
        <v>1</v>
      </c>
      <c r="B3" s="3" t="s">
        <v>64</v>
      </c>
    </row>
    <row r="4" spans="1:2" ht="13" x14ac:dyDescent="0.3">
      <c r="A4" s="2">
        <v>2</v>
      </c>
      <c r="B4" s="3" t="s">
        <v>63</v>
      </c>
    </row>
    <row r="5" spans="1:2" ht="13" x14ac:dyDescent="0.3">
      <c r="A5" s="2">
        <v>3</v>
      </c>
      <c r="B5" s="3" t="s">
        <v>65</v>
      </c>
    </row>
    <row r="6" spans="1:2" ht="13" x14ac:dyDescent="0.3">
      <c r="A6" s="2">
        <v>4</v>
      </c>
      <c r="B6" s="4" t="s">
        <v>79</v>
      </c>
    </row>
    <row r="7" spans="1:2" x14ac:dyDescent="0.25">
      <c r="A7" s="2">
        <v>5</v>
      </c>
      <c r="B7" s="3" t="s">
        <v>66</v>
      </c>
    </row>
    <row r="8" spans="1:2" x14ac:dyDescent="0.25">
      <c r="A8" s="2">
        <v>6</v>
      </c>
      <c r="B8" s="3" t="s">
        <v>67</v>
      </c>
    </row>
    <row r="9" spans="1:2" x14ac:dyDescent="0.25">
      <c r="A9" s="2">
        <v>7</v>
      </c>
      <c r="B9" s="5" t="s">
        <v>68</v>
      </c>
    </row>
    <row r="10" spans="1:2" ht="13" x14ac:dyDescent="0.3">
      <c r="A10" s="2">
        <v>8</v>
      </c>
      <c r="B10" s="3" t="s">
        <v>71</v>
      </c>
    </row>
    <row r="11" spans="1:2" x14ac:dyDescent="0.25">
      <c r="A11" s="2"/>
      <c r="B11" s="3" t="s">
        <v>72</v>
      </c>
    </row>
    <row r="12" spans="1:2" x14ac:dyDescent="0.25">
      <c r="A12" s="2"/>
      <c r="B12" s="5" t="s">
        <v>73</v>
      </c>
    </row>
    <row r="13" spans="1:2" x14ac:dyDescent="0.25">
      <c r="A13" s="2"/>
      <c r="B13" s="5" t="s">
        <v>74</v>
      </c>
    </row>
    <row r="14" spans="1:2" x14ac:dyDescent="0.25">
      <c r="A14" s="2">
        <v>9</v>
      </c>
      <c r="B14" s="3" t="s">
        <v>75</v>
      </c>
    </row>
    <row r="15" spans="1:2" x14ac:dyDescent="0.25">
      <c r="A15" s="2">
        <v>10</v>
      </c>
      <c r="B15" s="3" t="s">
        <v>77</v>
      </c>
    </row>
    <row r="16" spans="1:2" x14ac:dyDescent="0.25">
      <c r="A16" s="2">
        <v>11</v>
      </c>
      <c r="B16" s="3" t="s">
        <v>78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5"/>
  <sheetViews>
    <sheetView tabSelected="1" zoomScale="85" zoomScaleNormal="85" zoomScaleSheetLayoutView="100" workbookViewId="0">
      <selection activeCell="C7" sqref="C7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49" t="str">
        <f>+Transactions!B1</f>
        <v>AEPTCo Formula Rate -- FERC Docket ER18-195</v>
      </c>
      <c r="D1" s="249"/>
      <c r="E1" s="249"/>
      <c r="F1" s="249"/>
      <c r="G1" s="249"/>
      <c r="H1" s="249"/>
      <c r="I1" s="249"/>
      <c r="L1" s="6">
        <v>2020</v>
      </c>
    </row>
    <row r="2" spans="2:19" ht="13" x14ac:dyDescent="0.3">
      <c r="C2" s="249" t="s">
        <v>97</v>
      </c>
      <c r="D2" s="249"/>
      <c r="E2" s="249"/>
      <c r="F2" s="249"/>
      <c r="G2" s="249"/>
      <c r="H2" s="249"/>
      <c r="I2" s="249"/>
    </row>
    <row r="3" spans="2:19" ht="13" x14ac:dyDescent="0.3">
      <c r="C3" s="249" t="str">
        <f>"for period 01/01/"&amp;F8&amp;" - 12/31/"&amp;F8</f>
        <v>for period 01/01/2020 - 12/31/2020</v>
      </c>
      <c r="D3" s="249"/>
      <c r="E3" s="249"/>
      <c r="F3" s="249"/>
      <c r="G3" s="249"/>
      <c r="H3" s="249"/>
      <c r="I3" s="249"/>
    </row>
    <row r="4" spans="2:19" ht="13" x14ac:dyDescent="0.3">
      <c r="C4" s="249" t="s">
        <v>93</v>
      </c>
      <c r="D4" s="249"/>
      <c r="E4" s="249"/>
      <c r="F4" s="249"/>
      <c r="G4" s="249"/>
      <c r="H4" s="249"/>
      <c r="I4" s="249"/>
    </row>
    <row r="5" spans="2:19" x14ac:dyDescent="0.25">
      <c r="C5" s="7" t="str">
        <f>"Prepared:  May 24_, "&amp;L1+1&amp;""</f>
        <v>Prepared:  May 24_, 2021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2020</v>
      </c>
    </row>
    <row r="9" spans="2:19" ht="20.25" customHeight="1" x14ac:dyDescent="0.3">
      <c r="E9" s="12" t="s">
        <v>92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2020 Projections 2020)</v>
      </c>
      <c r="F10" s="18" t="str">
        <f>"(per "&amp;F8&amp;" Update of May "&amp;F8+1&amp;")"</f>
        <v>(per 2020 Update of May 2021)</v>
      </c>
      <c r="G10" s="19"/>
      <c r="H10" s="20"/>
    </row>
    <row r="11" spans="2:19" ht="21.75" customHeight="1" x14ac:dyDescent="0.25">
      <c r="B11" s="21"/>
      <c r="C11" s="22" t="s">
        <v>38</v>
      </c>
      <c r="D11" s="23" t="s">
        <v>36</v>
      </c>
      <c r="E11" s="24">
        <f>Transactions!K2</f>
        <v>871028.00690310099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41</v>
      </c>
      <c r="E12" s="30"/>
      <c r="F12" s="31">
        <f>+Transactions!J2</f>
        <v>598715.78758350026</v>
      </c>
      <c r="G12" s="32"/>
      <c r="H12" s="33"/>
      <c r="K12" s="34"/>
    </row>
    <row r="13" spans="2:19" ht="21.75" customHeight="1" x14ac:dyDescent="0.25">
      <c r="B13" s="35"/>
      <c r="C13" s="36" t="s">
        <v>39</v>
      </c>
      <c r="D13" s="37" t="s">
        <v>37</v>
      </c>
      <c r="E13" s="38">
        <f>Transactions!K3</f>
        <v>8.6960185985294221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40</v>
      </c>
      <c r="E14" s="44"/>
      <c r="F14" s="45">
        <f>+Transactions!J3</f>
        <v>6.3097767616586076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91</v>
      </c>
      <c r="I19" s="56" t="s">
        <v>90</v>
      </c>
      <c r="J19" s="57" t="s">
        <v>94</v>
      </c>
      <c r="K19" s="58" t="s">
        <v>95</v>
      </c>
      <c r="N19" s="52"/>
      <c r="O19" s="53"/>
      <c r="P19" s="53"/>
      <c r="Q19" s="53"/>
      <c r="R19" s="53"/>
      <c r="S19" s="53"/>
    </row>
    <row r="20" spans="2:19" ht="53.25" customHeight="1" x14ac:dyDescent="0.25">
      <c r="C20" s="59" t="s">
        <v>49</v>
      </c>
      <c r="D20" s="60" t="str">
        <f>"Actual Charge
("&amp;F8&amp;" True-Up)"</f>
        <v>Actual Charge
(2020 True-Up)</v>
      </c>
      <c r="E20" s="61" t="str">
        <f>"Invoiced for
CY"&amp;F8&amp;" Transmission Service"</f>
        <v>Invoiced for
CY2020 Transmission Service</v>
      </c>
      <c r="F20" s="60" t="s">
        <v>99</v>
      </c>
      <c r="G20" s="62" t="s">
        <v>100</v>
      </c>
      <c r="H20" s="62" t="s">
        <v>102</v>
      </c>
      <c r="I20" s="60" t="s">
        <v>101</v>
      </c>
      <c r="J20" s="63" t="s">
        <v>103</v>
      </c>
      <c r="K20" s="64" t="s">
        <v>104</v>
      </c>
      <c r="N20" s="52"/>
      <c r="O20" s="53"/>
      <c r="P20" s="53"/>
      <c r="Q20" s="53"/>
      <c r="R20" s="53"/>
      <c r="S20" s="53"/>
    </row>
    <row r="21" spans="2:19" x14ac:dyDescent="0.25">
      <c r="B21" s="65"/>
      <c r="C21" s="66" t="s">
        <v>14</v>
      </c>
      <c r="D21" s="67">
        <f>GETPIVOTDATA("Sum of "&amp;T(Transactions!$J$19),Pivot!$A$3,"Customer",C21)</f>
        <v>53241.896314875325</v>
      </c>
      <c r="E21" s="67">
        <f>GETPIVOTDATA("Sum of "&amp;T(Transactions!$K$19),Pivot!$A$3,"Customer",C21)</f>
        <v>73377.004934391269</v>
      </c>
      <c r="F21" s="67">
        <f>D21-E21</f>
        <v>-20135.108619515944</v>
      </c>
      <c r="G21" s="53">
        <f>+GETPIVOTDATA("Sum of "&amp;T(Transactions!$M$19),Pivot!$A$3,"Customer","AECC")</f>
        <v>-678.92852087765493</v>
      </c>
      <c r="H21" s="53">
        <f>GETPIVOTDATA("Sum of "&amp;T(Transactions!$Q$19),Pivot!$A$3,"Customer","AECC")</f>
        <v>0</v>
      </c>
      <c r="I21" s="68">
        <f>F21+G21-H21</f>
        <v>-20814.037140393601</v>
      </c>
      <c r="J21" s="69">
        <v>0</v>
      </c>
      <c r="K21" s="70">
        <f>I21+J21</f>
        <v>-20814.037140393601</v>
      </c>
      <c r="L21" s="65"/>
      <c r="N21" s="52"/>
      <c r="O21" s="53"/>
      <c r="P21" s="53"/>
      <c r="Q21" s="53"/>
      <c r="R21" s="53"/>
      <c r="S21" s="53"/>
    </row>
    <row r="22" spans="2:19" x14ac:dyDescent="0.25">
      <c r="B22" s="65"/>
      <c r="C22" s="71" t="s">
        <v>82</v>
      </c>
      <c r="D22" s="67">
        <f>GETPIVOTDATA("Sum of "&amp;T(Transactions!$J$19),Pivot!$A$3,"Customer",C22)</f>
        <v>2751.0626680831529</v>
      </c>
      <c r="E22" s="67">
        <f>GETPIVOTDATA("Sum of "&amp;T(Transactions!$K$19),Pivot!$A$3,"Customer",C22)</f>
        <v>3791.4641089588276</v>
      </c>
      <c r="F22" s="67">
        <f>D22-E22</f>
        <v>-1040.4014408756748</v>
      </c>
      <c r="G22" s="53">
        <f>+GETPIVOTDATA("Sum of "&amp;T(Transactions!$M$19),Pivot!$A$3,"Customer","AECI")</f>
        <v>-35.080923809274417</v>
      </c>
      <c r="H22" s="53">
        <f>GETPIVOTDATA("Sum of "&amp;T(Transactions!$Q$19),Pivot!$A$3,"Customer",C22)</f>
        <v>0</v>
      </c>
      <c r="I22" s="68">
        <f t="shared" ref="I22:I33" si="0">F22+G22-H22</f>
        <v>-1075.4823646849493</v>
      </c>
      <c r="J22" s="69">
        <v>0</v>
      </c>
      <c r="K22" s="70">
        <f t="shared" ref="K22:K39" si="1">I22+J22</f>
        <v>-1075.4823646849493</v>
      </c>
      <c r="L22" s="65"/>
      <c r="N22" s="52"/>
      <c r="O22" s="53"/>
      <c r="P22" s="53"/>
      <c r="Q22" s="53"/>
      <c r="R22" s="53"/>
      <c r="S22" s="53"/>
    </row>
    <row r="23" spans="2:19" x14ac:dyDescent="0.25">
      <c r="B23" s="65"/>
      <c r="C23" s="71" t="s">
        <v>53</v>
      </c>
      <c r="D23" s="67">
        <f>GETPIVOTDATA("Sum of "&amp;T(Transactions!$J$19),Pivot!$A$3,"Customer",C23)</f>
        <v>8606.5355029023394</v>
      </c>
      <c r="E23" s="67">
        <f>GETPIVOTDATA("Sum of "&amp;T(Transactions!$K$19),Pivot!$A$3,"Customer",C23)</f>
        <v>11861.369368394131</v>
      </c>
      <c r="F23" s="67">
        <f t="shared" ref="F23:F35" si="2">D23-E23</f>
        <v>-3254.8338654917916</v>
      </c>
      <c r="G23" s="53">
        <f>+GETPIVOTDATA("Sum of "&amp;T(Transactions!$M$19),Pivot!$A$3,"Customer","Bentonville, AR")</f>
        <v>-109.74857815561998</v>
      </c>
      <c r="H23" s="53">
        <f>GETPIVOTDATA("Sum of "&amp;T(Transactions!$Q$19),Pivot!$A$3,"Customer",C23)</f>
        <v>0</v>
      </c>
      <c r="I23" s="68">
        <f t="shared" si="0"/>
        <v>-3364.5824436474118</v>
      </c>
      <c r="J23" s="69">
        <v>0</v>
      </c>
      <c r="K23" s="70">
        <f t="shared" si="1"/>
        <v>-3364.5824436474118</v>
      </c>
      <c r="L23" s="65"/>
      <c r="N23" s="52"/>
      <c r="O23" s="53"/>
      <c r="P23" s="53"/>
      <c r="Q23" s="53"/>
      <c r="R23" s="53"/>
      <c r="S23" s="53"/>
    </row>
    <row r="24" spans="2:19" x14ac:dyDescent="0.25">
      <c r="B24" s="65"/>
      <c r="C24" s="66" t="s">
        <v>17</v>
      </c>
      <c r="D24" s="67">
        <f>GETPIVOTDATA("Sum of "&amp;T(Transactions!$J$19),Pivot!$A$3,"Customer",C24)</f>
        <v>7249.9334991457399</v>
      </c>
      <c r="E24" s="67">
        <f>GETPIVOTDATA("Sum of "&amp;T(Transactions!$K$19),Pivot!$A$3,"Customer",C24)</f>
        <v>9991.725369710306</v>
      </c>
      <c r="F24" s="67">
        <f t="shared" si="2"/>
        <v>-2741.7918705645661</v>
      </c>
      <c r="G24" s="53">
        <f>+GETPIVOTDATA("Sum of "&amp;T(Transactions!$M$19),Pivot!$A$3,"Customer","Coffeyville, KS")</f>
        <v>-92.44949875425759</v>
      </c>
      <c r="H24" s="53">
        <f>GETPIVOTDATA("Sum of "&amp;T(Transactions!$Q$19),Pivot!$A$3,"Customer",C24)</f>
        <v>0</v>
      </c>
      <c r="I24" s="68">
        <f t="shared" si="0"/>
        <v>-2834.2413693188237</v>
      </c>
      <c r="J24" s="69">
        <v>0</v>
      </c>
      <c r="K24" s="70">
        <f t="shared" si="1"/>
        <v>-2834.2413693188237</v>
      </c>
      <c r="L24" s="65"/>
      <c r="N24" s="52"/>
      <c r="O24" s="53"/>
      <c r="P24" s="53"/>
      <c r="Q24" s="53"/>
      <c r="R24" s="53"/>
      <c r="S24" s="53"/>
    </row>
    <row r="25" spans="2:19" x14ac:dyDescent="0.25">
      <c r="B25" s="65"/>
      <c r="C25" s="71" t="s">
        <v>13</v>
      </c>
      <c r="D25" s="67">
        <f>GETPIVOTDATA("Sum of "&amp;T(Transactions!$J$19),Pivot!$A$3,"Customer",C25)</f>
        <v>61564.491863503034</v>
      </c>
      <c r="E25" s="67">
        <f>GETPIVOTDATA("Sum of "&amp;T(Transactions!$K$19),Pivot!$A$3,"Customer",C25)</f>
        <v>84847.053465851553</v>
      </c>
      <c r="F25" s="67">
        <f t="shared" si="2"/>
        <v>-23282.56160234852</v>
      </c>
      <c r="G25" s="53">
        <f>+GETPIVOTDATA("Sum of "&amp;T(Transactions!$M$19),Pivot!$A$3,"Customer","ETEC")</f>
        <v>-785.05636148415272</v>
      </c>
      <c r="H25" s="53">
        <f>GETPIVOTDATA("Sum of "&amp;T(Transactions!$Q$19),Pivot!$A$3,"Customer",C25)</f>
        <v>0</v>
      </c>
      <c r="I25" s="68">
        <f t="shared" si="0"/>
        <v>-24067.617963832672</v>
      </c>
      <c r="J25" s="69">
        <v>0</v>
      </c>
      <c r="K25" s="70">
        <f t="shared" si="1"/>
        <v>-24067.617963832672</v>
      </c>
      <c r="L25" s="65"/>
      <c r="N25" s="54"/>
      <c r="O25" s="53"/>
      <c r="P25" s="53"/>
      <c r="Q25" s="53"/>
      <c r="R25" s="53"/>
      <c r="S25" s="53"/>
    </row>
    <row r="26" spans="2:19" x14ac:dyDescent="0.25">
      <c r="B26" s="65"/>
      <c r="C26" s="66" t="s">
        <v>15</v>
      </c>
      <c r="D26" s="67">
        <f>GETPIVOTDATA("Sum of "&amp;T(Transactions!$J$19),Pivot!$A$3,"Customer",C26)</f>
        <v>668.83633673581244</v>
      </c>
      <c r="E26" s="67">
        <f>GETPIVOTDATA("Sum of "&amp;T(Transactions!$K$19),Pivot!$A$3,"Customer",C26)</f>
        <v>921.77797144411886</v>
      </c>
      <c r="F26" s="67">
        <f t="shared" si="2"/>
        <v>-252.94163470830642</v>
      </c>
      <c r="G26" s="53">
        <f>+GETPIVOTDATA("Sum of "&amp;T(Transactions!$M$19),Pivot!$A$3,"Customer","Greenbelt")</f>
        <v>-8.5288484490437817</v>
      </c>
      <c r="H26" s="53">
        <f>GETPIVOTDATA("Sum of "&amp;T(Transactions!$Q$19),Pivot!$A$3,"Customer",C26)</f>
        <v>0</v>
      </c>
      <c r="I26" s="68">
        <f t="shared" si="0"/>
        <v>-261.4704831573502</v>
      </c>
      <c r="J26" s="69">
        <v>0</v>
      </c>
      <c r="K26" s="70">
        <f t="shared" si="1"/>
        <v>-261.4704831573502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5">
      <c r="B27" s="65"/>
      <c r="C27" s="66" t="s">
        <v>56</v>
      </c>
      <c r="D27" s="67">
        <f>GETPIVOTDATA("Sum of "&amp;T(Transactions!$J$19),Pivot!$A$3,"Customer",C27)</f>
        <v>2795.2311054147631</v>
      </c>
      <c r="E27" s="67">
        <f>GETPIVOTDATA("Sum of "&amp;T(Transactions!$K$19),Pivot!$A$3,"Customer",C27)</f>
        <v>3852.3362391485339</v>
      </c>
      <c r="F27" s="67">
        <f t="shared" si="2"/>
        <v>-1057.1051337337708</v>
      </c>
      <c r="G27" s="53">
        <f>+GETPIVOTDATA("Sum of "&amp;T(Transactions!$M$19),Pivot!$A$3,"Customer","Hope, AR")</f>
        <v>-35.644149650249012</v>
      </c>
      <c r="H27" s="53">
        <f>GETPIVOTDATA("Sum of "&amp;T(Transactions!$Q$19),Pivot!$A$3,"Customer",C27)</f>
        <v>0</v>
      </c>
      <c r="I27" s="68">
        <f t="shared" si="0"/>
        <v>-1092.7492833840199</v>
      </c>
      <c r="J27" s="69">
        <v>0</v>
      </c>
      <c r="K27" s="70">
        <f t="shared" si="1"/>
        <v>-1092.7492833840199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5">
      <c r="B28" s="65"/>
      <c r="C28" s="66" t="s">
        <v>16</v>
      </c>
      <c r="D28" s="67">
        <f>GETPIVOTDATA("Sum of "&amp;T(Transactions!$J$19),Pivot!$A$3,"Customer",C28)</f>
        <v>201.91285637307544</v>
      </c>
      <c r="E28" s="67">
        <f>GETPIVOTDATA("Sum of "&amp;T(Transactions!$K$19),Pivot!$A$3,"Customer",C28)</f>
        <v>278.27259515294151</v>
      </c>
      <c r="F28" s="67">
        <f t="shared" si="2"/>
        <v>-76.359738779866063</v>
      </c>
      <c r="G28" s="53">
        <f>+GETPIVOTDATA("Sum of "&amp;T(Transactions!$M$19),Pivot!$A$3,"Customer","Lighthouse")</f>
        <v>-2.5747467015981229</v>
      </c>
      <c r="H28" s="53">
        <f>GETPIVOTDATA("Sum of "&amp;T(Transactions!$Q$19),Pivot!$A$3,"Customer",C28)</f>
        <v>0</v>
      </c>
      <c r="I28" s="68">
        <f t="shared" si="0"/>
        <v>-78.934485481464179</v>
      </c>
      <c r="J28" s="69">
        <v>0</v>
      </c>
      <c r="K28" s="70">
        <f t="shared" si="1"/>
        <v>-78.934485481464179</v>
      </c>
      <c r="L28" s="65"/>
      <c r="N28" s="52"/>
      <c r="O28" s="53"/>
      <c r="P28" s="53"/>
      <c r="Q28" s="53"/>
      <c r="R28" s="53"/>
      <c r="S28" s="53"/>
    </row>
    <row r="29" spans="2:19" x14ac:dyDescent="0.25">
      <c r="B29" s="65"/>
      <c r="C29" s="71" t="s">
        <v>55</v>
      </c>
      <c r="D29" s="67">
        <f>GETPIVOTDATA("Sum of "&amp;T(Transactions!$J$19),Pivot!$A$3,"Customer",C29)</f>
        <v>1791.9766003110444</v>
      </c>
      <c r="E29" s="67">
        <f>GETPIVOTDATA("Sum of "&amp;T(Transactions!$K$19),Pivot!$A$3,"Customer",C29)</f>
        <v>2469.6692819823561</v>
      </c>
      <c r="F29" s="67">
        <f t="shared" si="2"/>
        <v>-677.69268167131168</v>
      </c>
      <c r="G29" s="53">
        <f>+GETPIVOTDATA("Sum of "&amp;T(Transactions!$M$19),Pivot!$A$3,"Customer","Minden, LA")</f>
        <v>-22.850876976683342</v>
      </c>
      <c r="H29" s="53">
        <f>GETPIVOTDATA("Sum of "&amp;T(Transactions!$Q$19),Pivot!$A$3,"Customer",C29)</f>
        <v>0</v>
      </c>
      <c r="I29" s="68">
        <f t="shared" si="0"/>
        <v>-700.54355864799504</v>
      </c>
      <c r="J29" s="69">
        <v>0</v>
      </c>
      <c r="K29" s="70">
        <f t="shared" si="1"/>
        <v>-700.54355864799504</v>
      </c>
      <c r="L29" s="65"/>
      <c r="N29" s="52"/>
      <c r="O29" s="53"/>
      <c r="P29" s="53"/>
      <c r="Q29" s="53"/>
      <c r="R29" s="53"/>
      <c r="S29" s="53"/>
    </row>
    <row r="30" spans="2:19" x14ac:dyDescent="0.25">
      <c r="B30" s="65"/>
      <c r="C30" s="71" t="s">
        <v>19</v>
      </c>
      <c r="D30" s="67">
        <f>GETPIVOTDATA("Sum of "&amp;T(Transactions!$J$19),Pivot!$A$3,"Customer",C30)</f>
        <v>2971.904854741204</v>
      </c>
      <c r="E30" s="67">
        <f>GETPIVOTDATA("Sum of "&amp;T(Transactions!$K$19),Pivot!$A$3,"Customer",C30)</f>
        <v>4095.8247599073575</v>
      </c>
      <c r="F30" s="67">
        <f t="shared" si="2"/>
        <v>-1123.9199051661535</v>
      </c>
      <c r="G30" s="53">
        <f>+GETPIVOTDATA("Sum of "&amp;T(Transactions!$M$19),Pivot!$A$3,"Customer","OG&amp;E")</f>
        <v>-37.897053014147374</v>
      </c>
      <c r="H30" s="53">
        <f>GETPIVOTDATA("Sum of "&amp;T(Transactions!$Q$19),Pivot!$A$3,"Customer",C30)</f>
        <v>0</v>
      </c>
      <c r="I30" s="68">
        <f t="shared" si="0"/>
        <v>-1161.8169581803008</v>
      </c>
      <c r="J30" s="69">
        <v>0</v>
      </c>
      <c r="K30" s="70">
        <f t="shared" si="1"/>
        <v>-1161.8169581803008</v>
      </c>
      <c r="L30" s="65"/>
    </row>
    <row r="31" spans="2:19" x14ac:dyDescent="0.25">
      <c r="B31" s="65"/>
      <c r="C31" s="66" t="s">
        <v>8</v>
      </c>
      <c r="D31" s="67">
        <f>GETPIVOTDATA("Sum of "&amp;T(Transactions!$J$19),Pivot!$A$3,"Customer",C31)</f>
        <v>7678.9983189385257</v>
      </c>
      <c r="E31" s="67">
        <f>GETPIVOTDATA("Sum of "&amp;T(Transactions!$K$19),Pivot!$A$3,"Customer",C31)</f>
        <v>10583.054634410306</v>
      </c>
      <c r="F31" s="67">
        <f t="shared" si="2"/>
        <v>-2904.0563154717802</v>
      </c>
      <c r="G31" s="53">
        <f>+GETPIVOTDATA("Sum of "&amp;T(Transactions!$M$19),Pivot!$A$3,"Customer","OMPA")</f>
        <v>-97.920835495153611</v>
      </c>
      <c r="H31" s="53">
        <f>GETPIVOTDATA("Sum of "&amp;T(Transactions!$Q$19),Pivot!$A$3,"Customer",C31)</f>
        <v>0</v>
      </c>
      <c r="I31" s="68">
        <f t="shared" si="0"/>
        <v>-3001.977150966934</v>
      </c>
      <c r="J31" s="69">
        <v>0</v>
      </c>
      <c r="K31" s="70">
        <f t="shared" si="1"/>
        <v>-3001.977150966934</v>
      </c>
      <c r="L31" s="65"/>
    </row>
    <row r="32" spans="2:19" x14ac:dyDescent="0.25">
      <c r="B32" s="65"/>
      <c r="C32" s="66" t="s">
        <v>54</v>
      </c>
      <c r="D32" s="67">
        <f>GETPIVOTDATA("Sum of "&amp;T(Transactions!$J$19),Pivot!$A$3,"Customer",C32)</f>
        <v>832.8905325389361</v>
      </c>
      <c r="E32" s="67">
        <f>GETPIVOTDATA("Sum of "&amp;T(Transactions!$K$19),Pivot!$A$3,"Customer",C32)</f>
        <v>1147.8744550058839</v>
      </c>
      <c r="F32" s="67">
        <f t="shared" si="2"/>
        <v>-314.98392246694777</v>
      </c>
      <c r="G32" s="53">
        <f>+GETPIVOTDATA("Sum of "&amp;T(Transactions!$M$19),Pivot!$A$3,"Customer","Prescott, AR")</f>
        <v>-10.620830144092258</v>
      </c>
      <c r="H32" s="53">
        <f>GETPIVOTDATA("Sum of "&amp;T(Transactions!$Q$19),Pivot!$A$3,"Customer",C32)</f>
        <v>0</v>
      </c>
      <c r="I32" s="68">
        <f t="shared" si="0"/>
        <v>-325.60475261104006</v>
      </c>
      <c r="J32" s="69">
        <v>0</v>
      </c>
      <c r="K32" s="70">
        <f t="shared" si="1"/>
        <v>-325.60475261104006</v>
      </c>
      <c r="L32" s="65"/>
    </row>
    <row r="33" spans="2:13" x14ac:dyDescent="0.25">
      <c r="B33" s="65"/>
      <c r="C33" s="73" t="s">
        <v>9</v>
      </c>
      <c r="D33" s="67">
        <f>GETPIVOTDATA("Sum of "&amp;T(Transactions!$J$19),Pivot!$A$3,"Customer",C33)</f>
        <v>2700.5844539898844</v>
      </c>
      <c r="E33" s="67">
        <f>GETPIVOTDATA("Sum of "&amp;T(Transactions!$K$19),Pivot!$A$3,"Customer",C33)</f>
        <v>3721.8959601705924</v>
      </c>
      <c r="F33" s="67">
        <f t="shared" si="2"/>
        <v>-1021.311506180708</v>
      </c>
      <c r="G33" s="53">
        <f>+GETPIVOTDATA("Sum of "&amp;T(Transactions!$M$19),Pivot!$A$3,"Customer","WFEC")</f>
        <v>-34.437237133874888</v>
      </c>
      <c r="H33" s="53">
        <f>GETPIVOTDATA("Sum of "&amp;T(Transactions!$Q$19),Pivot!$A$3,"Customer",C33)</f>
        <v>0</v>
      </c>
      <c r="I33" s="68">
        <f t="shared" si="0"/>
        <v>-1055.748743314583</v>
      </c>
      <c r="J33" s="69">
        <v>0</v>
      </c>
      <c r="K33" s="70">
        <f t="shared" si="1"/>
        <v>-1055.748743314583</v>
      </c>
      <c r="L33" s="65"/>
    </row>
    <row r="34" spans="2:13" ht="23" x14ac:dyDescent="0.25">
      <c r="C34" s="74" t="s">
        <v>42</v>
      </c>
      <c r="D34" s="75">
        <f t="shared" ref="D34:J34" si="3">SUM(D21:D33)</f>
        <v>153056.25490755288</v>
      </c>
      <c r="E34" s="75">
        <f t="shared" si="3"/>
        <v>210939.32314452817</v>
      </c>
      <c r="F34" s="75">
        <f t="shared" si="3"/>
        <v>-57883.068236975349</v>
      </c>
      <c r="G34" s="76">
        <f t="shared" si="3"/>
        <v>-1951.7384606458022</v>
      </c>
      <c r="H34" s="76">
        <f t="shared" si="3"/>
        <v>0</v>
      </c>
      <c r="I34" s="77">
        <f t="shared" si="3"/>
        <v>-59834.806697621148</v>
      </c>
      <c r="J34" s="78">
        <f t="shared" si="3"/>
        <v>0</v>
      </c>
      <c r="K34" s="79">
        <f t="shared" si="1"/>
        <v>-59834.806697621148</v>
      </c>
    </row>
    <row r="35" spans="2:13" x14ac:dyDescent="0.25">
      <c r="C35" s="80" t="s">
        <v>21</v>
      </c>
      <c r="D35" s="67">
        <f>GETPIVOTDATA("Sum of "&amp;T(Transactions!$J$19),Pivot!$A$3,"Customer",C35)</f>
        <v>222823.45656121208</v>
      </c>
      <c r="E35" s="67">
        <f>GETPIVOTDATA("Sum of "&amp;T(Transactions!$K$19),Pivot!$A$3,"Customer",C35)</f>
        <v>307091.20078846806</v>
      </c>
      <c r="F35" s="67">
        <f t="shared" si="2"/>
        <v>-84267.744227255986</v>
      </c>
      <c r="G35" s="53">
        <f>+GETPIVOTDATA("Sum of "&amp;T(Transactions!$M$19),Pivot!$A$3,"Customer","PSO")</f>
        <v>-2841.3939068823788</v>
      </c>
      <c r="H35" s="53">
        <f>GETPIVOTDATA("Sum of "&amp;T(Transactions!$Q$19),Pivot!$A$3,"Customer",C35)</f>
        <v>0</v>
      </c>
      <c r="I35" s="68">
        <f>F35+G35-H35</f>
        <v>-87109.138134138368</v>
      </c>
      <c r="J35" s="69">
        <v>0</v>
      </c>
      <c r="K35" s="70">
        <f t="shared" si="1"/>
        <v>-87109.138134138368</v>
      </c>
    </row>
    <row r="36" spans="2:13" x14ac:dyDescent="0.25">
      <c r="C36" s="81" t="s">
        <v>22</v>
      </c>
      <c r="D36" s="67">
        <f>GETPIVOTDATA("Sum of "&amp;T(Transactions!$J$19),Pivot!$A$3,"Customer",C36)</f>
        <v>213743.68780118533</v>
      </c>
      <c r="E36" s="67">
        <f>GETPIVOTDATA("Sum of "&amp;T(Transactions!$K$19),Pivot!$A$3,"Customer",C36)</f>
        <v>294577.63002518419</v>
      </c>
      <c r="F36" s="67">
        <f>D36-E36</f>
        <v>-80833.942223998863</v>
      </c>
      <c r="G36" s="53">
        <f>+GETPIVOTDATA("Sum of "&amp;T(Transactions!$M$19),Pivot!$A$3,"Customer","SWEPCO")</f>
        <v>-2725.6107661448882</v>
      </c>
      <c r="H36" s="53">
        <f>GETPIVOTDATA("Sum of "&amp;T(Transactions!$Q$19),Pivot!$A$3,"Customer",C36)</f>
        <v>0</v>
      </c>
      <c r="I36" s="68">
        <f>F36+G36-H36</f>
        <v>-83559.552990143755</v>
      </c>
      <c r="J36" s="69">
        <v>0</v>
      </c>
      <c r="K36" s="70">
        <f t="shared" si="1"/>
        <v>-83559.552990143755</v>
      </c>
    </row>
    <row r="37" spans="2:13" x14ac:dyDescent="0.25">
      <c r="C37" s="82" t="s">
        <v>80</v>
      </c>
      <c r="D37" s="67">
        <f>GETPIVOTDATA("Sum of "&amp;T(Transactions!$J$19),Pivot!$A$3,"Customer",C37)</f>
        <v>9092.3883135500528</v>
      </c>
      <c r="E37" s="67">
        <f>GETPIVOTDATA("Sum of "&amp;T(Transactions!$K$19),Pivot!$A$3,"Customer",C37)</f>
        <v>12530.962800480895</v>
      </c>
      <c r="F37" s="67">
        <f>D37-E37</f>
        <v>-3438.5744869308419</v>
      </c>
      <c r="G37" s="53">
        <f>+GETPIVOTDATA("Sum of "&amp;T(Transactions!$M$19),Pivot!$A$3,"Customer","SWEPCO-Valley")</f>
        <v>-115.94406240634048</v>
      </c>
      <c r="H37" s="53">
        <f>GETPIVOTDATA("Sum of "&amp;T(Transactions!$Q$19),Pivot!$A$3,"Customer",C37)</f>
        <v>0</v>
      </c>
      <c r="I37" s="68">
        <f>F37+G37-H37</f>
        <v>-3554.5185493371823</v>
      </c>
      <c r="J37" s="69">
        <v>0</v>
      </c>
      <c r="K37" s="70">
        <f t="shared" si="1"/>
        <v>-3554.5185493371823</v>
      </c>
    </row>
    <row r="38" spans="2:13" ht="23" x14ac:dyDescent="0.25">
      <c r="C38" s="83" t="s">
        <v>50</v>
      </c>
      <c r="D38" s="84">
        <f t="shared" ref="D38:I38" si="4">SUM(D35:D37)</f>
        <v>445659.53267594741</v>
      </c>
      <c r="E38" s="84">
        <f t="shared" si="4"/>
        <v>614199.79361413314</v>
      </c>
      <c r="F38" s="84">
        <f t="shared" si="4"/>
        <v>-168540.2609381857</v>
      </c>
      <c r="G38" s="85">
        <f t="shared" si="4"/>
        <v>-5682.9487354336079</v>
      </c>
      <c r="H38" s="85">
        <f t="shared" si="4"/>
        <v>0</v>
      </c>
      <c r="I38" s="86">
        <f t="shared" si="4"/>
        <v>-174223.20967361931</v>
      </c>
      <c r="J38" s="87">
        <f>SUM(J35:J37)</f>
        <v>0</v>
      </c>
      <c r="K38" s="88">
        <f t="shared" si="1"/>
        <v>-174223.20967361931</v>
      </c>
      <c r="M38" s="89"/>
    </row>
    <row r="39" spans="2:13" ht="23.25" customHeight="1" thickBot="1" x14ac:dyDescent="0.3">
      <c r="C39" s="90" t="s">
        <v>43</v>
      </c>
      <c r="D39" s="91">
        <f t="shared" ref="D39:I39" si="5">SUM(D34,D38)</f>
        <v>598715.78758350026</v>
      </c>
      <c r="E39" s="92">
        <f t="shared" si="5"/>
        <v>825139.11675866134</v>
      </c>
      <c r="F39" s="91">
        <f t="shared" si="5"/>
        <v>-226423.32917516105</v>
      </c>
      <c r="G39" s="92">
        <f t="shared" si="5"/>
        <v>-7634.6871960794106</v>
      </c>
      <c r="H39" s="92">
        <f t="shared" si="5"/>
        <v>0</v>
      </c>
      <c r="I39" s="93">
        <f t="shared" si="5"/>
        <v>-234058.01637124046</v>
      </c>
      <c r="J39" s="94">
        <f>SUM(J34,J38)</f>
        <v>0</v>
      </c>
      <c r="K39" s="95">
        <f t="shared" si="1"/>
        <v>-234058.01637124046</v>
      </c>
      <c r="M39" s="89"/>
    </row>
    <row r="40" spans="2:13" x14ac:dyDescent="0.25">
      <c r="E40" s="52"/>
      <c r="F40" s="52"/>
      <c r="G40" s="52"/>
      <c r="H40" s="52"/>
    </row>
    <row r="41" spans="2:13" x14ac:dyDescent="0.25">
      <c r="K41" s="96"/>
    </row>
    <row r="42" spans="2:13" x14ac:dyDescent="0.25">
      <c r="K42" s="96"/>
    </row>
    <row r="43" spans="2:13" x14ac:dyDescent="0.25">
      <c r="K43" s="96"/>
    </row>
    <row r="45" spans="2:13" x14ac:dyDescent="0.25">
      <c r="K45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6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3"/>
  <sheetViews>
    <sheetView zoomScale="85" workbookViewId="0">
      <pane xSplit="2" ySplit="4" topLeftCell="C50" activePane="bottomRight" state="frozen"/>
      <selection pane="topRight" activeCell="C1" sqref="C1"/>
      <selection pane="bottomLeft" activeCell="A5" sqref="A5"/>
      <selection pane="bottomRight" activeCell="D58" sqref="D58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0.36328125" style="1" customWidth="1"/>
    <col min="16" max="16384" width="8.7265625" style="1"/>
  </cols>
  <sheetData>
    <row r="3" spans="1:15" x14ac:dyDescent="0.25">
      <c r="A3" s="97"/>
      <c r="B3" s="98"/>
      <c r="C3" s="99" t="s">
        <v>52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5">
      <c r="A4" s="99" t="s">
        <v>0</v>
      </c>
      <c r="B4" s="99" t="s">
        <v>24</v>
      </c>
      <c r="C4" s="101">
        <v>43831</v>
      </c>
      <c r="D4" s="102">
        <v>43862</v>
      </c>
      <c r="E4" s="102">
        <v>43891</v>
      </c>
      <c r="F4" s="102">
        <v>43922</v>
      </c>
      <c r="G4" s="102">
        <v>43952</v>
      </c>
      <c r="H4" s="102">
        <v>43983</v>
      </c>
      <c r="I4" s="102">
        <v>44013</v>
      </c>
      <c r="J4" s="102">
        <v>44044</v>
      </c>
      <c r="K4" s="102">
        <v>44075</v>
      </c>
      <c r="L4" s="102">
        <v>44105</v>
      </c>
      <c r="M4" s="102">
        <v>44136</v>
      </c>
      <c r="N4" s="102">
        <v>44166</v>
      </c>
      <c r="O4" s="103" t="s">
        <v>18</v>
      </c>
    </row>
    <row r="5" spans="1:15" x14ac:dyDescent="0.25">
      <c r="A5" s="97" t="s">
        <v>14</v>
      </c>
      <c r="B5" s="97" t="s">
        <v>69</v>
      </c>
      <c r="C5" s="104">
        <v>4751.261901528931</v>
      </c>
      <c r="D5" s="105">
        <v>4511.4903845859044</v>
      </c>
      <c r="E5" s="105">
        <v>3217.9861484458897</v>
      </c>
      <c r="F5" s="105">
        <v>3880.5127084200435</v>
      </c>
      <c r="G5" s="105">
        <v>3476.6869956738929</v>
      </c>
      <c r="H5" s="105">
        <v>5142.4680607517648</v>
      </c>
      <c r="I5" s="105">
        <v>5148.7778375134239</v>
      </c>
      <c r="J5" s="105">
        <v>5609.3915411145017</v>
      </c>
      <c r="K5" s="105">
        <v>4845.9085529538106</v>
      </c>
      <c r="L5" s="105">
        <v>3994.0886901298986</v>
      </c>
      <c r="M5" s="105">
        <v>4031.9473506998502</v>
      </c>
      <c r="N5" s="105">
        <v>4631.3761430574177</v>
      </c>
      <c r="O5" s="106">
        <v>53241.896314875325</v>
      </c>
    </row>
    <row r="6" spans="1:15" ht="13" x14ac:dyDescent="0.3">
      <c r="A6" s="239"/>
      <c r="B6" s="107" t="s">
        <v>25</v>
      </c>
      <c r="C6" s="243">
        <v>-1796.8401031637241</v>
      </c>
      <c r="D6" s="244">
        <v>-1706.162913362632</v>
      </c>
      <c r="E6" s="244">
        <v>-1216.9833368041154</v>
      </c>
      <c r="F6" s="244">
        <v>-1467.5387296755512</v>
      </c>
      <c r="G6" s="244">
        <v>-1314.8192521158189</v>
      </c>
      <c r="H6" s="244">
        <v>-1944.7870970497142</v>
      </c>
      <c r="I6" s="244">
        <v>-1947.1733388865841</v>
      </c>
      <c r="J6" s="244">
        <v>-2121.3689929781549</v>
      </c>
      <c r="K6" s="244">
        <v>-1832.633730716786</v>
      </c>
      <c r="L6" s="244">
        <v>-1510.4910827392255</v>
      </c>
      <c r="M6" s="244">
        <v>-1524.8085337604507</v>
      </c>
      <c r="N6" s="244">
        <v>-1751.501508263178</v>
      </c>
      <c r="O6" s="245">
        <v>-20135.108619515937</v>
      </c>
    </row>
    <row r="7" spans="1:15" ht="13" x14ac:dyDescent="0.3">
      <c r="A7" s="239"/>
      <c r="B7" s="107" t="s">
        <v>26</v>
      </c>
      <c r="C7" s="243">
        <v>-60.587008321980825</v>
      </c>
      <c r="D7" s="244">
        <v>-57.529496613833061</v>
      </c>
      <c r="E7" s="244">
        <v>-41.035025556720079</v>
      </c>
      <c r="F7" s="244">
        <v>-49.483413171338917</v>
      </c>
      <c r="G7" s="244">
        <v>-44.333919768142671</v>
      </c>
      <c r="H7" s="244">
        <v>-65.575580056327183</v>
      </c>
      <c r="I7" s="244">
        <v>-65.656040890752138</v>
      </c>
      <c r="J7" s="244">
        <v>-71.529681803772846</v>
      </c>
      <c r="K7" s="244">
        <v>-61.793920838354943</v>
      </c>
      <c r="L7" s="244">
        <v>-50.93170819098787</v>
      </c>
      <c r="M7" s="244">
        <v>-51.414473197537518</v>
      </c>
      <c r="N7" s="244">
        <v>-59.058252467906939</v>
      </c>
      <c r="O7" s="245">
        <v>-678.92852087765493</v>
      </c>
    </row>
    <row r="8" spans="1:15" ht="13" x14ac:dyDescent="0.3">
      <c r="A8" s="239"/>
      <c r="B8" s="107" t="s">
        <v>27</v>
      </c>
      <c r="C8" s="243">
        <v>-1857.4271114857049</v>
      </c>
      <c r="D8" s="244">
        <v>-1763.6924099764651</v>
      </c>
      <c r="E8" s="244">
        <v>-1258.0183623608355</v>
      </c>
      <c r="F8" s="244">
        <v>-1517.0221428468901</v>
      </c>
      <c r="G8" s="244">
        <v>-1359.1531718839617</v>
      </c>
      <c r="H8" s="244">
        <v>-2010.3626771060415</v>
      </c>
      <c r="I8" s="244">
        <v>-2012.8293797773363</v>
      </c>
      <c r="J8" s="244">
        <v>-2192.8986747819276</v>
      </c>
      <c r="K8" s="244">
        <v>-1894.427651555141</v>
      </c>
      <c r="L8" s="244">
        <v>-1561.4227909302133</v>
      </c>
      <c r="M8" s="244">
        <v>-1576.2230069579882</v>
      </c>
      <c r="N8" s="244">
        <v>-1810.5597607310849</v>
      </c>
      <c r="O8" s="245">
        <v>-20814.03714039359</v>
      </c>
    </row>
    <row r="9" spans="1:15" x14ac:dyDescent="0.25">
      <c r="A9" s="239"/>
      <c r="B9" s="107" t="s">
        <v>48</v>
      </c>
      <c r="C9" s="108">
        <v>6548.1020046926551</v>
      </c>
      <c r="D9" s="96">
        <v>6217.6532979485364</v>
      </c>
      <c r="E9" s="96">
        <v>4434.9694852500052</v>
      </c>
      <c r="F9" s="96">
        <v>5348.0514380955947</v>
      </c>
      <c r="G9" s="96">
        <v>4791.5062477897118</v>
      </c>
      <c r="H9" s="96">
        <v>7087.2551578014791</v>
      </c>
      <c r="I9" s="96">
        <v>7095.9511764000081</v>
      </c>
      <c r="J9" s="96">
        <v>7730.7605340926566</v>
      </c>
      <c r="K9" s="96">
        <v>6678.5422836705966</v>
      </c>
      <c r="L9" s="96">
        <v>5504.5797728691241</v>
      </c>
      <c r="M9" s="96">
        <v>5556.7558844603009</v>
      </c>
      <c r="N9" s="96">
        <v>6382.8776513205958</v>
      </c>
      <c r="O9" s="109">
        <v>73377.004934391269</v>
      </c>
    </row>
    <row r="10" spans="1:15" x14ac:dyDescent="0.25">
      <c r="A10" s="239"/>
      <c r="B10" s="107" t="s">
        <v>86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5">
      <c r="A11" s="239"/>
      <c r="B11" s="107" t="s">
        <v>88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5">
      <c r="A12" s="97" t="s">
        <v>17</v>
      </c>
      <c r="B12" s="97" t="s">
        <v>69</v>
      </c>
      <c r="C12" s="104">
        <v>668.83633673581244</v>
      </c>
      <c r="D12" s="105">
        <v>649.90700645083655</v>
      </c>
      <c r="E12" s="105">
        <v>164.0541958031238</v>
      </c>
      <c r="F12" s="105">
        <v>612.04834588088488</v>
      </c>
      <c r="G12" s="105">
        <v>504.78214093268861</v>
      </c>
      <c r="H12" s="105">
        <v>624.6678994042021</v>
      </c>
      <c r="I12" s="105">
        <v>700.38522054410544</v>
      </c>
      <c r="J12" s="105">
        <v>706.69499730576399</v>
      </c>
      <c r="K12" s="105">
        <v>719.31455082908121</v>
      </c>
      <c r="L12" s="105">
        <v>605.73856911922633</v>
      </c>
      <c r="M12" s="105">
        <v>630.97767616586077</v>
      </c>
      <c r="N12" s="105">
        <v>662.52655997415377</v>
      </c>
      <c r="O12" s="106">
        <v>7249.9334991457399</v>
      </c>
    </row>
    <row r="13" spans="1:15" ht="13" x14ac:dyDescent="0.3">
      <c r="A13" s="239"/>
      <c r="B13" s="107" t="s">
        <v>25</v>
      </c>
      <c r="C13" s="243">
        <v>-252.94163470830631</v>
      </c>
      <c r="D13" s="244">
        <v>-245.78290919769393</v>
      </c>
      <c r="E13" s="244">
        <v>-62.04228775864118</v>
      </c>
      <c r="F13" s="244">
        <v>-231.46545817646904</v>
      </c>
      <c r="G13" s="244">
        <v>-190.89934694966513</v>
      </c>
      <c r="H13" s="244">
        <v>-236.23794185021063</v>
      </c>
      <c r="I13" s="244">
        <v>-264.8728438926604</v>
      </c>
      <c r="J13" s="244">
        <v>-267.25908572953131</v>
      </c>
      <c r="K13" s="244">
        <v>-272.0315694032729</v>
      </c>
      <c r="L13" s="244">
        <v>-229.07921633959825</v>
      </c>
      <c r="M13" s="244">
        <v>-238.62418368708143</v>
      </c>
      <c r="N13" s="244">
        <v>-250.55539287143552</v>
      </c>
      <c r="O13" s="245">
        <v>-2741.7918705645661</v>
      </c>
    </row>
    <row r="14" spans="1:15" ht="13" x14ac:dyDescent="0.3">
      <c r="A14" s="239"/>
      <c r="B14" s="107" t="s">
        <v>26</v>
      </c>
      <c r="C14" s="243">
        <v>-8.5288484490437817</v>
      </c>
      <c r="D14" s="244">
        <v>-8.2874659457689575</v>
      </c>
      <c r="E14" s="244">
        <v>-2.0919816950484749</v>
      </c>
      <c r="F14" s="244">
        <v>-7.804700939219309</v>
      </c>
      <c r="G14" s="244">
        <v>-6.4368667539953073</v>
      </c>
      <c r="H14" s="244">
        <v>-7.9656226080691921</v>
      </c>
      <c r="I14" s="244">
        <v>-8.9311526211684882</v>
      </c>
      <c r="J14" s="244">
        <v>-9.0116134555934302</v>
      </c>
      <c r="K14" s="244">
        <v>-9.1725351244433124</v>
      </c>
      <c r="L14" s="244">
        <v>-7.7242401047943678</v>
      </c>
      <c r="M14" s="244">
        <v>-8.0460834424941332</v>
      </c>
      <c r="N14" s="244">
        <v>-8.4483876146188415</v>
      </c>
      <c r="O14" s="245">
        <v>-92.44949875425759</v>
      </c>
    </row>
    <row r="15" spans="1:15" ht="13" x14ac:dyDescent="0.3">
      <c r="A15" s="239"/>
      <c r="B15" s="107" t="s">
        <v>27</v>
      </c>
      <c r="C15" s="243">
        <v>-261.47048315735009</v>
      </c>
      <c r="D15" s="244">
        <v>-254.07037514346288</v>
      </c>
      <c r="E15" s="244">
        <v>-64.134269453689654</v>
      </c>
      <c r="F15" s="244">
        <v>-239.27015911568836</v>
      </c>
      <c r="G15" s="244">
        <v>-197.33621370366043</v>
      </c>
      <c r="H15" s="244">
        <v>-244.20356445827983</v>
      </c>
      <c r="I15" s="244">
        <v>-273.80399651382891</v>
      </c>
      <c r="J15" s="244">
        <v>-276.27069918512473</v>
      </c>
      <c r="K15" s="244">
        <v>-281.2041045277162</v>
      </c>
      <c r="L15" s="244">
        <v>-236.80345644439262</v>
      </c>
      <c r="M15" s="244">
        <v>-246.67026712957556</v>
      </c>
      <c r="N15" s="244">
        <v>-259.00378048605438</v>
      </c>
      <c r="O15" s="245">
        <v>-2834.2413693188237</v>
      </c>
    </row>
    <row r="16" spans="1:15" x14ac:dyDescent="0.25">
      <c r="A16" s="239"/>
      <c r="B16" s="107" t="s">
        <v>48</v>
      </c>
      <c r="C16" s="108">
        <v>921.77797144411875</v>
      </c>
      <c r="D16" s="96">
        <v>895.68991564853047</v>
      </c>
      <c r="E16" s="96">
        <v>226.09648356176498</v>
      </c>
      <c r="F16" s="96">
        <v>843.51380405735392</v>
      </c>
      <c r="G16" s="96">
        <v>695.68148788235374</v>
      </c>
      <c r="H16" s="96">
        <v>860.90584125441273</v>
      </c>
      <c r="I16" s="96">
        <v>965.25806443676584</v>
      </c>
      <c r="J16" s="96">
        <v>973.9540830352953</v>
      </c>
      <c r="K16" s="96">
        <v>991.34612023235411</v>
      </c>
      <c r="L16" s="96">
        <v>834.81778545882457</v>
      </c>
      <c r="M16" s="96">
        <v>869.6018598529422</v>
      </c>
      <c r="N16" s="96">
        <v>913.08195284558929</v>
      </c>
      <c r="O16" s="109">
        <v>9991.725369710306</v>
      </c>
    </row>
    <row r="17" spans="1:15" x14ac:dyDescent="0.25">
      <c r="A17" s="239"/>
      <c r="B17" s="107" t="s">
        <v>86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5">
      <c r="A18" s="239"/>
      <c r="B18" s="107" t="s">
        <v>88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5">
      <c r="A19" s="97" t="s">
        <v>13</v>
      </c>
      <c r="B19" s="97" t="s">
        <v>69</v>
      </c>
      <c r="C19" s="104">
        <v>6139.4127890938253</v>
      </c>
      <c r="D19" s="105">
        <v>6252.9887708036804</v>
      </c>
      <c r="E19" s="105">
        <v>3691.2194055702853</v>
      </c>
      <c r="F19" s="105">
        <v>4101.3548950780951</v>
      </c>
      <c r="G19" s="105">
        <v>4341.1264120211217</v>
      </c>
      <c r="H19" s="105">
        <v>5268.6635959849373</v>
      </c>
      <c r="I19" s="105">
        <v>5729.2772995860159</v>
      </c>
      <c r="J19" s="105">
        <v>5710.3479693010395</v>
      </c>
      <c r="K19" s="105">
        <v>4782.8107853372248</v>
      </c>
      <c r="L19" s="105">
        <v>4498.8708310625871</v>
      </c>
      <c r="M19" s="105">
        <v>4814.3596691455177</v>
      </c>
      <c r="N19" s="105">
        <v>6234.0594405187039</v>
      </c>
      <c r="O19" s="106">
        <v>61564.491863503034</v>
      </c>
    </row>
    <row r="20" spans="1:15" ht="13" x14ac:dyDescent="0.3">
      <c r="A20" s="239"/>
      <c r="B20" s="107" t="s">
        <v>25</v>
      </c>
      <c r="C20" s="243">
        <v>-2321.8133072753026</v>
      </c>
      <c r="D20" s="244">
        <v>-2364.7656603389769</v>
      </c>
      <c r="E20" s="244">
        <v>-1395.9514745694264</v>
      </c>
      <c r="F20" s="244">
        <v>-1551.0571939660294</v>
      </c>
      <c r="G20" s="244">
        <v>-1641.7343837671206</v>
      </c>
      <c r="H20" s="244">
        <v>-1992.5119337871301</v>
      </c>
      <c r="I20" s="244">
        <v>-2166.7075878786991</v>
      </c>
      <c r="J20" s="244">
        <v>-2159.5488623680876</v>
      </c>
      <c r="K20" s="244">
        <v>-1808.7713123480771</v>
      </c>
      <c r="L20" s="244">
        <v>-1701.3904296888904</v>
      </c>
      <c r="M20" s="244">
        <v>-1820.7025215324311</v>
      </c>
      <c r="N20" s="244">
        <v>-2357.6069348283654</v>
      </c>
      <c r="O20" s="245">
        <v>-23282.561602348542</v>
      </c>
    </row>
    <row r="21" spans="1:15" ht="13" x14ac:dyDescent="0.3">
      <c r="A21" s="239"/>
      <c r="B21" s="107" t="s">
        <v>26</v>
      </c>
      <c r="C21" s="243">
        <v>-78.288391895467925</v>
      </c>
      <c r="D21" s="244">
        <v>-79.736686915116863</v>
      </c>
      <c r="E21" s="244">
        <v>-47.069588138590682</v>
      </c>
      <c r="F21" s="244">
        <v>-52.299542376211875</v>
      </c>
      <c r="G21" s="244">
        <v>-55.357054084359639</v>
      </c>
      <c r="H21" s="244">
        <v>-67.184796744826016</v>
      </c>
      <c r="I21" s="244">
        <v>-73.058437657846738</v>
      </c>
      <c r="J21" s="244">
        <v>-72.817055154571918</v>
      </c>
      <c r="K21" s="244">
        <v>-60.989312494105526</v>
      </c>
      <c r="L21" s="244">
        <v>-57.368574944983173</v>
      </c>
      <c r="M21" s="244">
        <v>-61.391616666230242</v>
      </c>
      <c r="N21" s="244">
        <v>-79.495304411842042</v>
      </c>
      <c r="O21" s="245">
        <v>-785.05636148415272</v>
      </c>
    </row>
    <row r="22" spans="1:15" ht="13" x14ac:dyDescent="0.3">
      <c r="A22" s="239"/>
      <c r="B22" s="107" t="s">
        <v>27</v>
      </c>
      <c r="C22" s="243">
        <v>-2400.1016991707706</v>
      </c>
      <c r="D22" s="244">
        <v>-2444.5023472540938</v>
      </c>
      <c r="E22" s="244">
        <v>-1443.0210627080171</v>
      </c>
      <c r="F22" s="244">
        <v>-1603.3567363422412</v>
      </c>
      <c r="G22" s="244">
        <v>-1697.0914378514801</v>
      </c>
      <c r="H22" s="244">
        <v>-2059.6967305319563</v>
      </c>
      <c r="I22" s="244">
        <v>-2239.7660255365458</v>
      </c>
      <c r="J22" s="244">
        <v>-2232.3659175226594</v>
      </c>
      <c r="K22" s="244">
        <v>-1869.7606248421826</v>
      </c>
      <c r="L22" s="244">
        <v>-1758.7590046338737</v>
      </c>
      <c r="M22" s="244">
        <v>-1882.0941381986613</v>
      </c>
      <c r="N22" s="244">
        <v>-2437.1022392402074</v>
      </c>
      <c r="O22" s="245">
        <v>-24067.617963832694</v>
      </c>
    </row>
    <row r="23" spans="1:15" x14ac:dyDescent="0.25">
      <c r="A23" s="239"/>
      <c r="B23" s="107" t="s">
        <v>48</v>
      </c>
      <c r="C23" s="108">
        <v>8461.2260963691278</v>
      </c>
      <c r="D23" s="96">
        <v>8617.7544311426573</v>
      </c>
      <c r="E23" s="96">
        <v>5087.1708801397117</v>
      </c>
      <c r="F23" s="96">
        <v>5652.4120890441245</v>
      </c>
      <c r="G23" s="96">
        <v>5982.8607957882423</v>
      </c>
      <c r="H23" s="96">
        <v>7261.1755297720674</v>
      </c>
      <c r="I23" s="96">
        <v>7895.984887464715</v>
      </c>
      <c r="J23" s="96">
        <v>7869.8968316691271</v>
      </c>
      <c r="K23" s="96">
        <v>6591.582097685302</v>
      </c>
      <c r="L23" s="96">
        <v>6200.2612607514775</v>
      </c>
      <c r="M23" s="96">
        <v>6635.0621906779488</v>
      </c>
      <c r="N23" s="96">
        <v>8591.6663753470693</v>
      </c>
      <c r="O23" s="109">
        <v>84847.053465851553</v>
      </c>
    </row>
    <row r="24" spans="1:15" x14ac:dyDescent="0.25">
      <c r="A24" s="239"/>
      <c r="B24" s="107" t="s">
        <v>86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5">
      <c r="A25" s="239"/>
      <c r="B25" s="107" t="s">
        <v>88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5">
      <c r="A26" s="97" t="s">
        <v>15</v>
      </c>
      <c r="B26" s="97" t="s">
        <v>69</v>
      </c>
      <c r="C26" s="104">
        <v>37.858660569951645</v>
      </c>
      <c r="D26" s="105">
        <v>31.548883808293038</v>
      </c>
      <c r="E26" s="105">
        <v>25.23910704663443</v>
      </c>
      <c r="F26" s="105">
        <v>44.168437331610249</v>
      </c>
      <c r="G26" s="105">
        <v>69.40754437824468</v>
      </c>
      <c r="H26" s="105">
        <v>75.717321139903291</v>
      </c>
      <c r="I26" s="105">
        <v>113.57598170985494</v>
      </c>
      <c r="J26" s="105">
        <v>100.95642818653772</v>
      </c>
      <c r="K26" s="105">
        <v>37.858660569951645</v>
      </c>
      <c r="L26" s="105">
        <v>44.168437331610249</v>
      </c>
      <c r="M26" s="105">
        <v>37.858660569951645</v>
      </c>
      <c r="N26" s="105">
        <v>50.478214093268861</v>
      </c>
      <c r="O26" s="106">
        <v>668.83633673581244</v>
      </c>
    </row>
    <row r="27" spans="1:15" ht="13" x14ac:dyDescent="0.3">
      <c r="A27" s="239"/>
      <c r="B27" s="107" t="s">
        <v>25</v>
      </c>
      <c r="C27" s="243">
        <v>-14.31745102122489</v>
      </c>
      <c r="D27" s="244">
        <v>-11.931209184354071</v>
      </c>
      <c r="E27" s="244">
        <v>-9.5449673474832579</v>
      </c>
      <c r="F27" s="244">
        <v>-16.703692858095707</v>
      </c>
      <c r="G27" s="244">
        <v>-26.248660205578958</v>
      </c>
      <c r="H27" s="244">
        <v>-28.634902042449781</v>
      </c>
      <c r="I27" s="244">
        <v>-42.95235306367465</v>
      </c>
      <c r="J27" s="244">
        <v>-38.179869389933032</v>
      </c>
      <c r="K27" s="244">
        <v>-14.31745102122489</v>
      </c>
      <c r="L27" s="244">
        <v>-16.703692858095707</v>
      </c>
      <c r="M27" s="244">
        <v>-14.31745102122489</v>
      </c>
      <c r="N27" s="244">
        <v>-19.089934694966516</v>
      </c>
      <c r="O27" s="245">
        <v>-252.94163470830637</v>
      </c>
    </row>
    <row r="28" spans="1:15" ht="13" x14ac:dyDescent="0.3">
      <c r="A28" s="239"/>
      <c r="B28" s="107" t="s">
        <v>26</v>
      </c>
      <c r="C28" s="243">
        <v>-0.48276500654964799</v>
      </c>
      <c r="D28" s="244">
        <v>-0.4023041721247067</v>
      </c>
      <c r="E28" s="244">
        <v>-0.32184333769976536</v>
      </c>
      <c r="F28" s="244">
        <v>-0.56322584097458939</v>
      </c>
      <c r="G28" s="244">
        <v>-0.88506917867435475</v>
      </c>
      <c r="H28" s="244">
        <v>-0.96553001309929598</v>
      </c>
      <c r="I28" s="244">
        <v>-1.4482950196489441</v>
      </c>
      <c r="J28" s="244">
        <v>-1.2873733507990615</v>
      </c>
      <c r="K28" s="244">
        <v>-0.48276500654964799</v>
      </c>
      <c r="L28" s="244">
        <v>-0.56322584097458939</v>
      </c>
      <c r="M28" s="244">
        <v>-0.48276500654964799</v>
      </c>
      <c r="N28" s="244">
        <v>-0.64368667539953073</v>
      </c>
      <c r="O28" s="245">
        <v>-8.5288484490437817</v>
      </c>
    </row>
    <row r="29" spans="1:15" ht="13" x14ac:dyDescent="0.3">
      <c r="A29" s="239"/>
      <c r="B29" s="107" t="s">
        <v>27</v>
      </c>
      <c r="C29" s="243">
        <v>-14.800216027774539</v>
      </c>
      <c r="D29" s="244">
        <v>-12.333513356478777</v>
      </c>
      <c r="E29" s="244">
        <v>-9.8668106851830224</v>
      </c>
      <c r="F29" s="244">
        <v>-17.266918699070295</v>
      </c>
      <c r="G29" s="244">
        <v>-27.133729384253311</v>
      </c>
      <c r="H29" s="244">
        <v>-29.600432055549078</v>
      </c>
      <c r="I29" s="244">
        <v>-44.400648083323595</v>
      </c>
      <c r="J29" s="244">
        <v>-39.46724274073209</v>
      </c>
      <c r="K29" s="244">
        <v>-14.800216027774539</v>
      </c>
      <c r="L29" s="244">
        <v>-17.266918699070295</v>
      </c>
      <c r="M29" s="244">
        <v>-14.800216027774539</v>
      </c>
      <c r="N29" s="244">
        <v>-19.733621370366045</v>
      </c>
      <c r="O29" s="245">
        <v>-261.47048315735009</v>
      </c>
    </row>
    <row r="30" spans="1:15" x14ac:dyDescent="0.25">
      <c r="A30" s="239"/>
      <c r="B30" s="107" t="s">
        <v>48</v>
      </c>
      <c r="C30" s="108">
        <v>52.176111591176536</v>
      </c>
      <c r="D30" s="96">
        <v>43.480092992647108</v>
      </c>
      <c r="E30" s="96">
        <v>34.784074394117688</v>
      </c>
      <c r="F30" s="96">
        <v>60.872130189705956</v>
      </c>
      <c r="G30" s="96">
        <v>95.656204583823637</v>
      </c>
      <c r="H30" s="96">
        <v>104.35222318235307</v>
      </c>
      <c r="I30" s="96">
        <v>156.52833477352959</v>
      </c>
      <c r="J30" s="96">
        <v>139.13629757647075</v>
      </c>
      <c r="K30" s="96">
        <v>52.176111591176536</v>
      </c>
      <c r="L30" s="96">
        <v>60.872130189705956</v>
      </c>
      <c r="M30" s="96">
        <v>52.176111591176536</v>
      </c>
      <c r="N30" s="96">
        <v>69.568148788235376</v>
      </c>
      <c r="O30" s="109">
        <v>921.77797144411886</v>
      </c>
    </row>
    <row r="31" spans="1:15" x14ac:dyDescent="0.25">
      <c r="A31" s="239"/>
      <c r="B31" s="107" t="s">
        <v>86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5">
      <c r="A32" s="239"/>
      <c r="B32" s="107" t="s">
        <v>88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5">
      <c r="A33" s="97" t="s">
        <v>16</v>
      </c>
      <c r="B33" s="97" t="s">
        <v>69</v>
      </c>
      <c r="C33" s="104">
        <v>12.619553523317215</v>
      </c>
      <c r="D33" s="105">
        <v>18.929330284975823</v>
      </c>
      <c r="E33" s="105">
        <v>6.3097767616586076</v>
      </c>
      <c r="F33" s="105">
        <v>12.619553523317215</v>
      </c>
      <c r="G33" s="105">
        <v>12.619553523317215</v>
      </c>
      <c r="H33" s="105">
        <v>25.23910704663443</v>
      </c>
      <c r="I33" s="105">
        <v>37.858660569951645</v>
      </c>
      <c r="J33" s="105">
        <v>31.548883808293038</v>
      </c>
      <c r="K33" s="105">
        <v>12.619553523317215</v>
      </c>
      <c r="L33" s="105">
        <v>6.3097767616586076</v>
      </c>
      <c r="M33" s="105">
        <v>18.929330284975823</v>
      </c>
      <c r="N33" s="105">
        <v>6.3097767616586076</v>
      </c>
      <c r="O33" s="106">
        <v>201.91285637307544</v>
      </c>
    </row>
    <row r="34" spans="1:15" ht="13" x14ac:dyDescent="0.3">
      <c r="A34" s="239"/>
      <c r="B34" s="107" t="s">
        <v>25</v>
      </c>
      <c r="C34" s="243">
        <v>-4.772483673741629</v>
      </c>
      <c r="D34" s="244">
        <v>-7.1587255106124452</v>
      </c>
      <c r="E34" s="244">
        <v>-2.3862418368708145</v>
      </c>
      <c r="F34" s="244">
        <v>-4.772483673741629</v>
      </c>
      <c r="G34" s="244">
        <v>-4.772483673741629</v>
      </c>
      <c r="H34" s="244">
        <v>-9.5449673474832579</v>
      </c>
      <c r="I34" s="244">
        <v>-14.31745102122489</v>
      </c>
      <c r="J34" s="244">
        <v>-11.931209184354071</v>
      </c>
      <c r="K34" s="244">
        <v>-4.772483673741629</v>
      </c>
      <c r="L34" s="244">
        <v>-2.3862418368708145</v>
      </c>
      <c r="M34" s="244">
        <v>-7.1587255106124452</v>
      </c>
      <c r="N34" s="244">
        <v>-2.3862418368708145</v>
      </c>
      <c r="O34" s="245">
        <v>-76.359738779866049</v>
      </c>
    </row>
    <row r="35" spans="1:15" ht="13" x14ac:dyDescent="0.3">
      <c r="A35" s="239"/>
      <c r="B35" s="107" t="s">
        <v>26</v>
      </c>
      <c r="C35" s="243">
        <v>-0.16092166884988268</v>
      </c>
      <c r="D35" s="244">
        <v>-0.241382503274824</v>
      </c>
      <c r="E35" s="244">
        <v>-8.0460834424941341E-2</v>
      </c>
      <c r="F35" s="244">
        <v>-0.16092166884988268</v>
      </c>
      <c r="G35" s="244">
        <v>-0.16092166884988268</v>
      </c>
      <c r="H35" s="244">
        <v>-0.32184333769976536</v>
      </c>
      <c r="I35" s="244">
        <v>-0.48276500654964799</v>
      </c>
      <c r="J35" s="244">
        <v>-0.4023041721247067</v>
      </c>
      <c r="K35" s="244">
        <v>-0.16092166884988268</v>
      </c>
      <c r="L35" s="244">
        <v>-8.0460834424941341E-2</v>
      </c>
      <c r="M35" s="244">
        <v>-0.241382503274824</v>
      </c>
      <c r="N35" s="244">
        <v>-8.0460834424941341E-2</v>
      </c>
      <c r="O35" s="245">
        <v>-2.5747467015981229</v>
      </c>
    </row>
    <row r="36" spans="1:15" ht="13" x14ac:dyDescent="0.3">
      <c r="A36" s="239"/>
      <c r="B36" s="107" t="s">
        <v>27</v>
      </c>
      <c r="C36" s="243">
        <v>-4.9334053425915112</v>
      </c>
      <c r="D36" s="244">
        <v>-7.4001080138872695</v>
      </c>
      <c r="E36" s="244">
        <v>-2.4667026712957556</v>
      </c>
      <c r="F36" s="244">
        <v>-4.9334053425915112</v>
      </c>
      <c r="G36" s="244">
        <v>-4.9334053425915112</v>
      </c>
      <c r="H36" s="244">
        <v>-9.8668106851830224</v>
      </c>
      <c r="I36" s="244">
        <v>-14.800216027774539</v>
      </c>
      <c r="J36" s="244">
        <v>-12.333513356478777</v>
      </c>
      <c r="K36" s="244">
        <v>-4.9334053425915112</v>
      </c>
      <c r="L36" s="244">
        <v>-2.4667026712957556</v>
      </c>
      <c r="M36" s="244">
        <v>-7.4001080138872695</v>
      </c>
      <c r="N36" s="244">
        <v>-2.4667026712957556</v>
      </c>
      <c r="O36" s="245">
        <v>-78.934485481464165</v>
      </c>
    </row>
    <row r="37" spans="1:15" x14ac:dyDescent="0.25">
      <c r="A37" s="239"/>
      <c r="B37" s="107" t="s">
        <v>48</v>
      </c>
      <c r="C37" s="108">
        <v>17.392037197058844</v>
      </c>
      <c r="D37" s="96">
        <v>26.088055795588268</v>
      </c>
      <c r="E37" s="96">
        <v>8.6960185985294221</v>
      </c>
      <c r="F37" s="96">
        <v>17.392037197058844</v>
      </c>
      <c r="G37" s="96">
        <v>17.392037197058844</v>
      </c>
      <c r="H37" s="96">
        <v>34.784074394117688</v>
      </c>
      <c r="I37" s="96">
        <v>52.176111591176536</v>
      </c>
      <c r="J37" s="96">
        <v>43.480092992647108</v>
      </c>
      <c r="K37" s="96">
        <v>17.392037197058844</v>
      </c>
      <c r="L37" s="96">
        <v>8.6960185985294221</v>
      </c>
      <c r="M37" s="96">
        <v>26.088055795588268</v>
      </c>
      <c r="N37" s="96">
        <v>8.6960185985294221</v>
      </c>
      <c r="O37" s="109">
        <v>278.27259515294151</v>
      </c>
    </row>
    <row r="38" spans="1:15" x14ac:dyDescent="0.25">
      <c r="A38" s="239"/>
      <c r="B38" s="107" t="s">
        <v>86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5">
      <c r="A39" s="239"/>
      <c r="B39" s="107" t="s">
        <v>88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5">
      <c r="A40" s="97" t="s">
        <v>19</v>
      </c>
      <c r="B40" s="97" t="s">
        <v>69</v>
      </c>
      <c r="C40" s="104">
        <v>246.08129370468569</v>
      </c>
      <c r="D40" s="105">
        <v>258.70084722800289</v>
      </c>
      <c r="E40" s="105">
        <v>227.15196341970989</v>
      </c>
      <c r="F40" s="105">
        <v>195.60307961141683</v>
      </c>
      <c r="G40" s="105">
        <v>201.91285637307544</v>
      </c>
      <c r="H40" s="105">
        <v>246.08129370468569</v>
      </c>
      <c r="I40" s="105">
        <v>277.63017751297872</v>
      </c>
      <c r="J40" s="105">
        <v>239.77151694302708</v>
      </c>
      <c r="K40" s="105">
        <v>258.70084722800289</v>
      </c>
      <c r="L40" s="105">
        <v>265.0106239896615</v>
      </c>
      <c r="M40" s="105">
        <v>283.93995427463733</v>
      </c>
      <c r="N40" s="105">
        <v>271.32040075132011</v>
      </c>
      <c r="O40" s="106">
        <v>2971.904854741204</v>
      </c>
    </row>
    <row r="41" spans="1:15" ht="13" x14ac:dyDescent="0.3">
      <c r="A41" s="239"/>
      <c r="B41" s="107" t="s">
        <v>25</v>
      </c>
      <c r="C41" s="243">
        <v>-93.06343163796177</v>
      </c>
      <c r="D41" s="244">
        <v>-97.835915311703445</v>
      </c>
      <c r="E41" s="244">
        <v>-85.9047061273493</v>
      </c>
      <c r="F41" s="244">
        <v>-73.973496942995268</v>
      </c>
      <c r="G41" s="244">
        <v>-76.359738779866063</v>
      </c>
      <c r="H41" s="244">
        <v>-93.06343163796177</v>
      </c>
      <c r="I41" s="244">
        <v>-104.99464082231583</v>
      </c>
      <c r="J41" s="244">
        <v>-90.677189801090975</v>
      </c>
      <c r="K41" s="244">
        <v>-97.835915311703445</v>
      </c>
      <c r="L41" s="244">
        <v>-100.22215714857424</v>
      </c>
      <c r="M41" s="244">
        <v>-107.38088265918668</v>
      </c>
      <c r="N41" s="244">
        <v>-102.60839898544504</v>
      </c>
      <c r="O41" s="245">
        <v>-1123.919905166154</v>
      </c>
    </row>
    <row r="42" spans="1:15" ht="13" x14ac:dyDescent="0.3">
      <c r="A42" s="239"/>
      <c r="B42" s="107" t="s">
        <v>26</v>
      </c>
      <c r="C42" s="243">
        <v>-3.1379725425727121</v>
      </c>
      <c r="D42" s="244">
        <v>-3.2988942114225952</v>
      </c>
      <c r="E42" s="244">
        <v>-2.8965900392978883</v>
      </c>
      <c r="F42" s="244">
        <v>-2.4942858671731813</v>
      </c>
      <c r="G42" s="244">
        <v>-2.5747467015981229</v>
      </c>
      <c r="H42" s="244">
        <v>-3.1379725425727121</v>
      </c>
      <c r="I42" s="244">
        <v>-3.540276714697419</v>
      </c>
      <c r="J42" s="244">
        <v>-3.057511708147771</v>
      </c>
      <c r="K42" s="244">
        <v>-3.2988942114225952</v>
      </c>
      <c r="L42" s="244">
        <v>-3.3793550458475359</v>
      </c>
      <c r="M42" s="244">
        <v>-3.6207375491223606</v>
      </c>
      <c r="N42" s="244">
        <v>-3.4598158802724774</v>
      </c>
      <c r="O42" s="245">
        <v>-37.897053014147374</v>
      </c>
    </row>
    <row r="43" spans="1:15" ht="13" x14ac:dyDescent="0.3">
      <c r="A43" s="239"/>
      <c r="B43" s="107" t="s">
        <v>27</v>
      </c>
      <c r="C43" s="243">
        <v>-96.201404180534482</v>
      </c>
      <c r="D43" s="244">
        <v>-101.13480952312604</v>
      </c>
      <c r="E43" s="244">
        <v>-88.801296166647191</v>
      </c>
      <c r="F43" s="244">
        <v>-76.467782810168444</v>
      </c>
      <c r="G43" s="244">
        <v>-78.934485481464179</v>
      </c>
      <c r="H43" s="244">
        <v>-96.201404180534482</v>
      </c>
      <c r="I43" s="244">
        <v>-108.53491753701324</v>
      </c>
      <c r="J43" s="244">
        <v>-93.734701509238747</v>
      </c>
      <c r="K43" s="244">
        <v>-101.13480952312604</v>
      </c>
      <c r="L43" s="244">
        <v>-103.60151219442177</v>
      </c>
      <c r="M43" s="244">
        <v>-111.00162020830905</v>
      </c>
      <c r="N43" s="244">
        <v>-106.06821486571751</v>
      </c>
      <c r="O43" s="245">
        <v>-1161.8169581803011</v>
      </c>
    </row>
    <row r="44" spans="1:15" x14ac:dyDescent="0.25">
      <c r="A44" s="239"/>
      <c r="B44" s="107" t="s">
        <v>48</v>
      </c>
      <c r="C44" s="108">
        <v>339.14472534264746</v>
      </c>
      <c r="D44" s="96">
        <v>356.53676253970633</v>
      </c>
      <c r="E44" s="96">
        <v>313.05666954705919</v>
      </c>
      <c r="F44" s="96">
        <v>269.5765765544121</v>
      </c>
      <c r="G44" s="96">
        <v>278.27259515294151</v>
      </c>
      <c r="H44" s="96">
        <v>339.14472534264746</v>
      </c>
      <c r="I44" s="96">
        <v>382.62481833529455</v>
      </c>
      <c r="J44" s="96">
        <v>330.44870674411806</v>
      </c>
      <c r="K44" s="96">
        <v>356.53676253970633</v>
      </c>
      <c r="L44" s="96">
        <v>365.23278113823574</v>
      </c>
      <c r="M44" s="96">
        <v>391.32083693382401</v>
      </c>
      <c r="N44" s="96">
        <v>373.92879973676514</v>
      </c>
      <c r="O44" s="109">
        <v>4095.8247599073575</v>
      </c>
    </row>
    <row r="45" spans="1:15" x14ac:dyDescent="0.25">
      <c r="A45" s="239"/>
      <c r="B45" s="107" t="s">
        <v>86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5">
      <c r="A46" s="239"/>
      <c r="B46" s="107" t="s">
        <v>88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5">
      <c r="A47" s="97" t="s">
        <v>8</v>
      </c>
      <c r="B47" s="97" t="s">
        <v>69</v>
      </c>
      <c r="C47" s="104">
        <v>479.54303388605416</v>
      </c>
      <c r="D47" s="105">
        <v>485.85281064771277</v>
      </c>
      <c r="E47" s="105">
        <v>536.33102474098166</v>
      </c>
      <c r="F47" s="105">
        <v>517.40169445600577</v>
      </c>
      <c r="G47" s="105">
        <v>738.2438811140571</v>
      </c>
      <c r="H47" s="105">
        <v>826.58075577727755</v>
      </c>
      <c r="I47" s="105">
        <v>927.53718396381532</v>
      </c>
      <c r="J47" s="105">
        <v>889.67852339386366</v>
      </c>
      <c r="K47" s="105">
        <v>700.38522054410544</v>
      </c>
      <c r="L47" s="105">
        <v>618.35812264254355</v>
      </c>
      <c r="M47" s="105">
        <v>466.92348036273694</v>
      </c>
      <c r="N47" s="105">
        <v>492.16258740937138</v>
      </c>
      <c r="O47" s="106">
        <v>7678.9983189385257</v>
      </c>
    </row>
    <row r="48" spans="1:15" ht="13" x14ac:dyDescent="0.3">
      <c r="A48" s="239"/>
      <c r="B48" s="107" t="s">
        <v>25</v>
      </c>
      <c r="C48" s="243">
        <v>-181.35437960218195</v>
      </c>
      <c r="D48" s="244">
        <v>-183.74062143905269</v>
      </c>
      <c r="E48" s="244">
        <v>-202.83055613401916</v>
      </c>
      <c r="F48" s="244">
        <v>-195.67183062340689</v>
      </c>
      <c r="G48" s="244">
        <v>-279.19029491388528</v>
      </c>
      <c r="H48" s="244">
        <v>-312.59768063007664</v>
      </c>
      <c r="I48" s="244">
        <v>-350.77755002000981</v>
      </c>
      <c r="J48" s="244">
        <v>-336.46009899878493</v>
      </c>
      <c r="K48" s="244">
        <v>-264.8728438926604</v>
      </c>
      <c r="L48" s="244">
        <v>-233.85170001333984</v>
      </c>
      <c r="M48" s="244">
        <v>-176.58189592844025</v>
      </c>
      <c r="N48" s="244">
        <v>-186.12686327592354</v>
      </c>
      <c r="O48" s="245">
        <v>-2904.0563154717811</v>
      </c>
    </row>
    <row r="49" spans="1:15" ht="13" x14ac:dyDescent="0.3">
      <c r="A49" s="239"/>
      <c r="B49" s="107" t="s">
        <v>26</v>
      </c>
      <c r="C49" s="243">
        <v>-6.1150234162955419</v>
      </c>
      <c r="D49" s="244">
        <v>-6.195484250720483</v>
      </c>
      <c r="E49" s="244">
        <v>-6.8391709261200138</v>
      </c>
      <c r="F49" s="244">
        <v>-6.5977884228451904</v>
      </c>
      <c r="G49" s="244">
        <v>-9.4139176277181367</v>
      </c>
      <c r="H49" s="244">
        <v>-10.540369309667316</v>
      </c>
      <c r="I49" s="244">
        <v>-11.827742660466377</v>
      </c>
      <c r="J49" s="244">
        <v>-11.344977653916729</v>
      </c>
      <c r="K49" s="244">
        <v>-8.9311526211684882</v>
      </c>
      <c r="L49" s="244">
        <v>-7.885161773644251</v>
      </c>
      <c r="M49" s="244">
        <v>-5.9541017474456588</v>
      </c>
      <c r="N49" s="244">
        <v>-6.2759450851454242</v>
      </c>
      <c r="O49" s="245">
        <v>-97.920835495153611</v>
      </c>
    </row>
    <row r="50" spans="1:15" ht="13" x14ac:dyDescent="0.3">
      <c r="A50" s="239"/>
      <c r="B50" s="107" t="s">
        <v>27</v>
      </c>
      <c r="C50" s="243">
        <v>-187.46940301847749</v>
      </c>
      <c r="D50" s="244">
        <v>-189.93610568977317</v>
      </c>
      <c r="E50" s="244">
        <v>-209.66972706013917</v>
      </c>
      <c r="F50" s="244">
        <v>-202.26961904625207</v>
      </c>
      <c r="G50" s="244">
        <v>-288.60421254160343</v>
      </c>
      <c r="H50" s="244">
        <v>-323.13804993974395</v>
      </c>
      <c r="I50" s="244">
        <v>-362.60529268047617</v>
      </c>
      <c r="J50" s="244">
        <v>-347.80507665270164</v>
      </c>
      <c r="K50" s="244">
        <v>-273.80399651382891</v>
      </c>
      <c r="L50" s="244">
        <v>-241.73686178698409</v>
      </c>
      <c r="M50" s="244">
        <v>-182.53599767588591</v>
      </c>
      <c r="N50" s="244">
        <v>-192.40280836106896</v>
      </c>
      <c r="O50" s="245">
        <v>-3001.9771509669345</v>
      </c>
    </row>
    <row r="51" spans="1:15" x14ac:dyDescent="0.25">
      <c r="A51" s="239"/>
      <c r="B51" s="107" t="s">
        <v>48</v>
      </c>
      <c r="C51" s="108">
        <v>660.89741348823611</v>
      </c>
      <c r="D51" s="96">
        <v>669.59343208676546</v>
      </c>
      <c r="E51" s="96">
        <v>739.16158087500082</v>
      </c>
      <c r="F51" s="96">
        <v>713.07352507941266</v>
      </c>
      <c r="G51" s="96">
        <v>1017.4341760279424</v>
      </c>
      <c r="H51" s="96">
        <v>1139.1784364073542</v>
      </c>
      <c r="I51" s="96">
        <v>1278.3147339838251</v>
      </c>
      <c r="J51" s="96">
        <v>1226.1386223926486</v>
      </c>
      <c r="K51" s="96">
        <v>965.25806443676584</v>
      </c>
      <c r="L51" s="96">
        <v>852.20982265588339</v>
      </c>
      <c r="M51" s="96">
        <v>643.50537629117719</v>
      </c>
      <c r="N51" s="96">
        <v>678.28945068529492</v>
      </c>
      <c r="O51" s="109">
        <v>10583.054634410306</v>
      </c>
    </row>
    <row r="52" spans="1:15" x14ac:dyDescent="0.25">
      <c r="A52" s="239"/>
      <c r="B52" s="107" t="s">
        <v>86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5">
      <c r="A53" s="239"/>
      <c r="B53" s="107" t="s">
        <v>88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5">
      <c r="A54" s="97" t="s">
        <v>21</v>
      </c>
      <c r="B54" s="97" t="s">
        <v>69</v>
      </c>
      <c r="C54" s="104">
        <v>16279.224045079207</v>
      </c>
      <c r="D54" s="105">
        <v>16077.311188706131</v>
      </c>
      <c r="E54" s="105">
        <v>15805.990787954812</v>
      </c>
      <c r="F54" s="105">
        <v>16632.571543732091</v>
      </c>
      <c r="G54" s="105">
        <v>18367.760153188206</v>
      </c>
      <c r="H54" s="105">
        <v>22109.457772851762</v>
      </c>
      <c r="I54" s="105">
        <v>23497.608660416656</v>
      </c>
      <c r="J54" s="105">
        <v>24437.765397903786</v>
      </c>
      <c r="K54" s="105">
        <v>21131.442374794678</v>
      </c>
      <c r="L54" s="105">
        <v>17597.967388265857</v>
      </c>
      <c r="M54" s="105">
        <v>15029.888246270802</v>
      </c>
      <c r="N54" s="105">
        <v>15856.469002048081</v>
      </c>
      <c r="O54" s="106">
        <v>222823.45656121208</v>
      </c>
    </row>
    <row r="55" spans="1:15" ht="13" x14ac:dyDescent="0.3">
      <c r="A55" s="239"/>
      <c r="B55" s="107" t="s">
        <v>25</v>
      </c>
      <c r="C55" s="243">
        <v>-6156.5039391267037</v>
      </c>
      <c r="D55" s="244">
        <v>-6080.1442003468364</v>
      </c>
      <c r="E55" s="244">
        <v>-5977.5358013613913</v>
      </c>
      <c r="F55" s="244">
        <v>-6290.1334819914664</v>
      </c>
      <c r="G55" s="244">
        <v>-6946.3499871309396</v>
      </c>
      <c r="H55" s="244">
        <v>-8361.3913963953346</v>
      </c>
      <c r="I55" s="244">
        <v>-8886.3646005069131</v>
      </c>
      <c r="J55" s="244">
        <v>-9241.9146342006643</v>
      </c>
      <c r="K55" s="244">
        <v>-7991.5239116803568</v>
      </c>
      <c r="L55" s="244">
        <v>-6655.2284830327008</v>
      </c>
      <c r="M55" s="244">
        <v>-5684.028055426279</v>
      </c>
      <c r="N55" s="244">
        <v>-5996.6257360563577</v>
      </c>
      <c r="O55" s="245">
        <v>-84267.744227255957</v>
      </c>
    </row>
    <row r="56" spans="1:15" ht="13" x14ac:dyDescent="0.3">
      <c r="A56" s="239"/>
      <c r="B56" s="107" t="s">
        <v>26</v>
      </c>
      <c r="C56" s="243">
        <v>-207.58895281634867</v>
      </c>
      <c r="D56" s="244">
        <v>-205.01420611475052</v>
      </c>
      <c r="E56" s="244">
        <v>-201.55439023447806</v>
      </c>
      <c r="F56" s="244">
        <v>-212.09475954414538</v>
      </c>
      <c r="G56" s="244">
        <v>-234.22148901100425</v>
      </c>
      <c r="H56" s="244">
        <v>-281.93476382499443</v>
      </c>
      <c r="I56" s="244">
        <v>-299.63614739848151</v>
      </c>
      <c r="J56" s="244">
        <v>-311.62481172779781</v>
      </c>
      <c r="K56" s="244">
        <v>-269.46333448912856</v>
      </c>
      <c r="L56" s="244">
        <v>-224.4052672111614</v>
      </c>
      <c r="M56" s="244">
        <v>-191.65770760021027</v>
      </c>
      <c r="N56" s="244">
        <v>-202.19807690987759</v>
      </c>
      <c r="O56" s="245">
        <v>-2841.3939068823788</v>
      </c>
    </row>
    <row r="57" spans="1:15" ht="13" x14ac:dyDescent="0.3">
      <c r="A57" s="239"/>
      <c r="B57" s="107" t="s">
        <v>27</v>
      </c>
      <c r="C57" s="243">
        <v>-6364.0928919430526</v>
      </c>
      <c r="D57" s="244">
        <v>-6285.1584064615872</v>
      </c>
      <c r="E57" s="244">
        <v>-6179.0901915958693</v>
      </c>
      <c r="F57" s="244">
        <v>-6502.2282415356121</v>
      </c>
      <c r="G57" s="244">
        <v>-7180.571476141944</v>
      </c>
      <c r="H57" s="244">
        <v>-8643.3261602203293</v>
      </c>
      <c r="I57" s="244">
        <v>-9186.0007479053947</v>
      </c>
      <c r="J57" s="244">
        <v>-9553.5394459284616</v>
      </c>
      <c r="K57" s="244">
        <v>-8260.9872461694849</v>
      </c>
      <c r="L57" s="244">
        <v>-6879.6337502438619</v>
      </c>
      <c r="M57" s="244">
        <v>-5875.6857630264894</v>
      </c>
      <c r="N57" s="244">
        <v>-6198.823812966235</v>
      </c>
      <c r="O57" s="245">
        <v>-87109.138134138324</v>
      </c>
    </row>
    <row r="58" spans="1:15" x14ac:dyDescent="0.25">
      <c r="A58" s="239"/>
      <c r="B58" s="107" t="s">
        <v>48</v>
      </c>
      <c r="C58" s="108">
        <v>22435.727984205911</v>
      </c>
      <c r="D58" s="96">
        <v>22157.455389052968</v>
      </c>
      <c r="E58" s="96">
        <v>21783.526589316203</v>
      </c>
      <c r="F58" s="96">
        <v>22922.705025723557</v>
      </c>
      <c r="G58" s="96">
        <v>25314.110140319146</v>
      </c>
      <c r="H58" s="96">
        <v>30470.849169247096</v>
      </c>
      <c r="I58" s="96">
        <v>32383.973260923569</v>
      </c>
      <c r="J58" s="96">
        <v>33679.68003210445</v>
      </c>
      <c r="K58" s="96">
        <v>29122.966286475035</v>
      </c>
      <c r="L58" s="96">
        <v>24253.195871298558</v>
      </c>
      <c r="M58" s="96">
        <v>20713.916301697082</v>
      </c>
      <c r="N58" s="96">
        <v>21853.094738104439</v>
      </c>
      <c r="O58" s="109">
        <v>307091.20078846806</v>
      </c>
    </row>
    <row r="59" spans="1:15" x14ac:dyDescent="0.25">
      <c r="A59" s="239"/>
      <c r="B59" s="107" t="s">
        <v>86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5">
      <c r="A60" s="239"/>
      <c r="B60" s="107" t="s">
        <v>88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5">
      <c r="A61" s="97" t="s">
        <v>22</v>
      </c>
      <c r="B61" s="97" t="s">
        <v>69</v>
      </c>
      <c r="C61" s="104">
        <v>16809.245293058531</v>
      </c>
      <c r="D61" s="105">
        <v>17654.755379120783</v>
      </c>
      <c r="E61" s="105">
        <v>15282.279316737147</v>
      </c>
      <c r="F61" s="105">
        <v>16209.816500700963</v>
      </c>
      <c r="G61" s="105">
        <v>16392.800026789064</v>
      </c>
      <c r="H61" s="105">
        <v>19983.063004172811</v>
      </c>
      <c r="I61" s="105">
        <v>21301.806347359459</v>
      </c>
      <c r="J61" s="105">
        <v>21825.517818577122</v>
      </c>
      <c r="K61" s="105">
        <v>20020.92166474276</v>
      </c>
      <c r="L61" s="105">
        <v>16159.338286607694</v>
      </c>
      <c r="M61" s="105">
        <v>14872.143827229338</v>
      </c>
      <c r="N61" s="105">
        <v>17232.000336089659</v>
      </c>
      <c r="O61" s="106">
        <v>213743.68780118533</v>
      </c>
    </row>
    <row r="62" spans="1:15" ht="13" x14ac:dyDescent="0.3">
      <c r="A62" s="239"/>
      <c r="B62" s="107" t="s">
        <v>25</v>
      </c>
      <c r="C62" s="243">
        <v>-6356.9482534238487</v>
      </c>
      <c r="D62" s="244">
        <v>-6676.7046595645406</v>
      </c>
      <c r="E62" s="244">
        <v>-5779.4777289011126</v>
      </c>
      <c r="F62" s="244">
        <v>-6130.2552789211222</v>
      </c>
      <c r="G62" s="244">
        <v>-6199.4562921903744</v>
      </c>
      <c r="H62" s="244">
        <v>-7557.2278973698703</v>
      </c>
      <c r="I62" s="244">
        <v>-8055.9524412758692</v>
      </c>
      <c r="J62" s="244">
        <v>-8254.0105137361497</v>
      </c>
      <c r="K62" s="244">
        <v>-7571.5453483910969</v>
      </c>
      <c r="L62" s="244">
        <v>-6111.1653442261559</v>
      </c>
      <c r="M62" s="244">
        <v>-5624.3720095045101</v>
      </c>
      <c r="N62" s="244">
        <v>-6516.8264564941928</v>
      </c>
      <c r="O62" s="245">
        <v>-80833.942223998849</v>
      </c>
    </row>
    <row r="63" spans="1:15" ht="13" x14ac:dyDescent="0.3">
      <c r="A63" s="239"/>
      <c r="B63" s="107" t="s">
        <v>26</v>
      </c>
      <c r="C63" s="243">
        <v>-214.34766290804373</v>
      </c>
      <c r="D63" s="244">
        <v>-225.12941472098586</v>
      </c>
      <c r="E63" s="244">
        <v>-194.87614097720791</v>
      </c>
      <c r="F63" s="244">
        <v>-206.70388363767429</v>
      </c>
      <c r="G63" s="244">
        <v>-209.03724783599759</v>
      </c>
      <c r="H63" s="244">
        <v>-254.81946262378924</v>
      </c>
      <c r="I63" s="244">
        <v>-271.63577701860197</v>
      </c>
      <c r="J63" s="244">
        <v>-278.3140262758721</v>
      </c>
      <c r="K63" s="244">
        <v>-255.30222763033888</v>
      </c>
      <c r="L63" s="244">
        <v>-206.06019696227477</v>
      </c>
      <c r="M63" s="244">
        <v>-189.64618673958674</v>
      </c>
      <c r="N63" s="244">
        <v>-219.73853881451478</v>
      </c>
      <c r="O63" s="245">
        <v>-2725.6107661448882</v>
      </c>
    </row>
    <row r="64" spans="1:15" ht="13" x14ac:dyDescent="0.3">
      <c r="A64" s="239"/>
      <c r="B64" s="107" t="s">
        <v>27</v>
      </c>
      <c r="C64" s="243">
        <v>-6571.2959163318919</v>
      </c>
      <c r="D64" s="244">
        <v>-6901.8340742855262</v>
      </c>
      <c r="E64" s="244">
        <v>-5974.3538698783204</v>
      </c>
      <c r="F64" s="244">
        <v>-6336.9591625587964</v>
      </c>
      <c r="G64" s="244">
        <v>-6408.4935400263721</v>
      </c>
      <c r="H64" s="244">
        <v>-7812.0473599936595</v>
      </c>
      <c r="I64" s="244">
        <v>-8327.5882182944715</v>
      </c>
      <c r="J64" s="244">
        <v>-8532.3245400120213</v>
      </c>
      <c r="K64" s="244">
        <v>-7826.847576021436</v>
      </c>
      <c r="L64" s="244">
        <v>-6317.2255411884307</v>
      </c>
      <c r="M64" s="244">
        <v>-5814.0181962440965</v>
      </c>
      <c r="N64" s="244">
        <v>-6736.5649953087077</v>
      </c>
      <c r="O64" s="245">
        <v>-83559.552990143726</v>
      </c>
    </row>
    <row r="65" spans="1:15" x14ac:dyDescent="0.25">
      <c r="A65" s="239"/>
      <c r="B65" s="107" t="s">
        <v>48</v>
      </c>
      <c r="C65" s="108">
        <v>23166.19354648238</v>
      </c>
      <c r="D65" s="96">
        <v>24331.460038685324</v>
      </c>
      <c r="E65" s="96">
        <v>21061.75704563826</v>
      </c>
      <c r="F65" s="96">
        <v>22340.071779622085</v>
      </c>
      <c r="G65" s="96">
        <v>22592.256318979438</v>
      </c>
      <c r="H65" s="96">
        <v>27540.290901542681</v>
      </c>
      <c r="I65" s="96">
        <v>29357.758788635329</v>
      </c>
      <c r="J65" s="96">
        <v>30079.528332313272</v>
      </c>
      <c r="K65" s="96">
        <v>27592.467013133857</v>
      </c>
      <c r="L65" s="96">
        <v>22270.503630833849</v>
      </c>
      <c r="M65" s="96">
        <v>20496.515836733848</v>
      </c>
      <c r="N65" s="96">
        <v>23748.826792583852</v>
      </c>
      <c r="O65" s="109">
        <v>294577.63002518419</v>
      </c>
    </row>
    <row r="66" spans="1:15" x14ac:dyDescent="0.25">
      <c r="A66" s="239"/>
      <c r="B66" s="107" t="s">
        <v>86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5">
      <c r="A67" s="239"/>
      <c r="B67" s="107" t="s">
        <v>88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5">
      <c r="A68" s="97" t="s">
        <v>9</v>
      </c>
      <c r="B68" s="97" t="s">
        <v>69</v>
      </c>
      <c r="C68" s="104">
        <v>252.3910704663443</v>
      </c>
      <c r="D68" s="105">
        <v>265.0106239896615</v>
      </c>
      <c r="E68" s="105">
        <v>182.98352608809961</v>
      </c>
      <c r="F68" s="105">
        <v>201.91285637307544</v>
      </c>
      <c r="G68" s="105">
        <v>151.43464227980658</v>
      </c>
      <c r="H68" s="105">
        <v>201.91285637307544</v>
      </c>
      <c r="I68" s="105">
        <v>265.0106239896615</v>
      </c>
      <c r="J68" s="105">
        <v>246.08129370468569</v>
      </c>
      <c r="K68" s="105">
        <v>227.15196341970989</v>
      </c>
      <c r="L68" s="105">
        <v>214.53240989639266</v>
      </c>
      <c r="M68" s="105">
        <v>233.46174018136847</v>
      </c>
      <c r="N68" s="105">
        <v>258.70084722800289</v>
      </c>
      <c r="O68" s="106">
        <v>2700.5844539898844</v>
      </c>
    </row>
    <row r="69" spans="1:15" ht="13" x14ac:dyDescent="0.3">
      <c r="A69" s="239"/>
      <c r="B69" s="107" t="s">
        <v>25</v>
      </c>
      <c r="C69" s="243">
        <v>-95.449673474832565</v>
      </c>
      <c r="D69" s="244">
        <v>-100.22215714857424</v>
      </c>
      <c r="E69" s="244">
        <v>-69.201013269253622</v>
      </c>
      <c r="F69" s="244">
        <v>-76.359738779866063</v>
      </c>
      <c r="G69" s="244">
        <v>-57.269804084899562</v>
      </c>
      <c r="H69" s="244">
        <v>-76.359738779866063</v>
      </c>
      <c r="I69" s="244">
        <v>-100.22215714857424</v>
      </c>
      <c r="J69" s="244">
        <v>-93.06343163796177</v>
      </c>
      <c r="K69" s="244">
        <v>-85.9047061273493</v>
      </c>
      <c r="L69" s="244">
        <v>-81.13222245360771</v>
      </c>
      <c r="M69" s="244">
        <v>-88.290947964220123</v>
      </c>
      <c r="N69" s="244">
        <v>-97.835915311703445</v>
      </c>
      <c r="O69" s="245">
        <v>-1021.3115061807086</v>
      </c>
    </row>
    <row r="70" spans="1:15" ht="13" x14ac:dyDescent="0.3">
      <c r="A70" s="239"/>
      <c r="B70" s="107" t="s">
        <v>26</v>
      </c>
      <c r="C70" s="243">
        <v>-3.2184333769976536</v>
      </c>
      <c r="D70" s="244">
        <v>-3.3793550458475359</v>
      </c>
      <c r="E70" s="244">
        <v>-2.3333641983232987</v>
      </c>
      <c r="F70" s="244">
        <v>-2.5747467015981229</v>
      </c>
      <c r="G70" s="244">
        <v>-1.931060026198592</v>
      </c>
      <c r="H70" s="244">
        <v>-2.5747467015981229</v>
      </c>
      <c r="I70" s="244">
        <v>-3.3793550458475359</v>
      </c>
      <c r="J70" s="244">
        <v>-3.1379725425727121</v>
      </c>
      <c r="K70" s="244">
        <v>-2.8965900392978883</v>
      </c>
      <c r="L70" s="244">
        <v>-2.7356683704480056</v>
      </c>
      <c r="M70" s="244">
        <v>-2.9770508737228294</v>
      </c>
      <c r="N70" s="244">
        <v>-3.2988942114225952</v>
      </c>
      <c r="O70" s="245">
        <v>-34.437237133874888</v>
      </c>
    </row>
    <row r="71" spans="1:15" ht="13" x14ac:dyDescent="0.3">
      <c r="A71" s="239"/>
      <c r="B71" s="107" t="s">
        <v>27</v>
      </c>
      <c r="C71" s="243">
        <v>-98.668106851830217</v>
      </c>
      <c r="D71" s="244">
        <v>-103.60151219442177</v>
      </c>
      <c r="E71" s="244">
        <v>-71.534377467576917</v>
      </c>
      <c r="F71" s="244">
        <v>-78.934485481464179</v>
      </c>
      <c r="G71" s="244">
        <v>-59.200864111098156</v>
      </c>
      <c r="H71" s="244">
        <v>-78.934485481464179</v>
      </c>
      <c r="I71" s="244">
        <v>-103.60151219442177</v>
      </c>
      <c r="J71" s="244">
        <v>-96.201404180534482</v>
      </c>
      <c r="K71" s="244">
        <v>-88.801296166647191</v>
      </c>
      <c r="L71" s="244">
        <v>-83.867890824055721</v>
      </c>
      <c r="M71" s="244">
        <v>-91.267998837942955</v>
      </c>
      <c r="N71" s="244">
        <v>-101.13480952312604</v>
      </c>
      <c r="O71" s="245">
        <v>-1055.7487433145836</v>
      </c>
    </row>
    <row r="72" spans="1:15" x14ac:dyDescent="0.25">
      <c r="A72" s="239"/>
      <c r="B72" s="107" t="s">
        <v>48</v>
      </c>
      <c r="C72" s="108">
        <v>347.84074394117687</v>
      </c>
      <c r="D72" s="96">
        <v>365.23278113823574</v>
      </c>
      <c r="E72" s="96">
        <v>252.18453935735323</v>
      </c>
      <c r="F72" s="96">
        <v>278.27259515294151</v>
      </c>
      <c r="G72" s="96">
        <v>208.70444636470614</v>
      </c>
      <c r="H72" s="96">
        <v>278.27259515294151</v>
      </c>
      <c r="I72" s="96">
        <v>365.23278113823574</v>
      </c>
      <c r="J72" s="96">
        <v>339.14472534264746</v>
      </c>
      <c r="K72" s="96">
        <v>313.05666954705919</v>
      </c>
      <c r="L72" s="96">
        <v>295.66463235000037</v>
      </c>
      <c r="M72" s="96">
        <v>321.75268814558859</v>
      </c>
      <c r="N72" s="96">
        <v>356.53676253970633</v>
      </c>
      <c r="O72" s="109">
        <v>3721.8959601705924</v>
      </c>
    </row>
    <row r="73" spans="1:15" x14ac:dyDescent="0.25">
      <c r="A73" s="239"/>
      <c r="B73" s="107" t="s">
        <v>86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5">
      <c r="A74" s="239"/>
      <c r="B74" s="107" t="s">
        <v>88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5">
      <c r="A75" s="97" t="s">
        <v>53</v>
      </c>
      <c r="B75" s="97" t="s">
        <v>69</v>
      </c>
      <c r="C75" s="104">
        <v>687.76566702078821</v>
      </c>
      <c r="D75" s="105">
        <v>656.21678321249522</v>
      </c>
      <c r="E75" s="105">
        <v>548.95057826429888</v>
      </c>
      <c r="F75" s="105">
        <v>643.59722968917799</v>
      </c>
      <c r="G75" s="105">
        <v>580.49946207259188</v>
      </c>
      <c r="H75" s="105">
        <v>902.29807691718088</v>
      </c>
      <c r="I75" s="105">
        <v>870.74919310888788</v>
      </c>
      <c r="J75" s="105">
        <v>959.08606777210832</v>
      </c>
      <c r="K75" s="105">
        <v>858.12963958557066</v>
      </c>
      <c r="L75" s="105">
        <v>675.14611349747099</v>
      </c>
      <c r="M75" s="105">
        <v>599.42879235756777</v>
      </c>
      <c r="N75" s="105">
        <v>624.6678994042021</v>
      </c>
      <c r="O75" s="106">
        <v>8606.5355029023394</v>
      </c>
    </row>
    <row r="76" spans="1:15" x14ac:dyDescent="0.25">
      <c r="A76" s="239"/>
      <c r="B76" s="107" t="s">
        <v>25</v>
      </c>
      <c r="C76" s="108">
        <v>-260.10036021891881</v>
      </c>
      <c r="D76" s="96">
        <v>-248.16915103456472</v>
      </c>
      <c r="E76" s="96">
        <v>-207.60303980776087</v>
      </c>
      <c r="F76" s="96">
        <v>-243.39666736082302</v>
      </c>
      <c r="G76" s="96">
        <v>-219.53424899211495</v>
      </c>
      <c r="H76" s="96">
        <v>-341.23258267252641</v>
      </c>
      <c r="I76" s="96">
        <v>-329.30137348817232</v>
      </c>
      <c r="J76" s="96">
        <v>-362.7087592043639</v>
      </c>
      <c r="K76" s="96">
        <v>-324.52888981443084</v>
      </c>
      <c r="L76" s="96">
        <v>-255.32787654517722</v>
      </c>
      <c r="M76" s="96">
        <v>-226.69297450272734</v>
      </c>
      <c r="N76" s="96">
        <v>-236.23794185021063</v>
      </c>
      <c r="O76" s="109">
        <v>-3254.8338654917911</v>
      </c>
    </row>
    <row r="77" spans="1:15" x14ac:dyDescent="0.25">
      <c r="A77" s="239"/>
      <c r="B77" s="107" t="s">
        <v>26</v>
      </c>
      <c r="C77" s="108">
        <v>-8.7702309523186059</v>
      </c>
      <c r="D77" s="96">
        <v>-8.3679267801938995</v>
      </c>
      <c r="E77" s="96">
        <v>-7.000092594969896</v>
      </c>
      <c r="F77" s="96">
        <v>-8.2070051113440172</v>
      </c>
      <c r="G77" s="96">
        <v>-7.4023967670946025</v>
      </c>
      <c r="H77" s="96">
        <v>-11.505899322766611</v>
      </c>
      <c r="I77" s="96">
        <v>-11.103595150641905</v>
      </c>
      <c r="J77" s="96">
        <v>-12.230046832591084</v>
      </c>
      <c r="K77" s="96">
        <v>-10.942673481792022</v>
      </c>
      <c r="L77" s="96">
        <v>-8.6093092834687237</v>
      </c>
      <c r="M77" s="96">
        <v>-7.6437792703694267</v>
      </c>
      <c r="N77" s="96">
        <v>-7.9656226080691921</v>
      </c>
      <c r="O77" s="109">
        <v>-109.74857815561998</v>
      </c>
    </row>
    <row r="78" spans="1:15" x14ac:dyDescent="0.25">
      <c r="A78" s="239"/>
      <c r="B78" s="107" t="s">
        <v>27</v>
      </c>
      <c r="C78" s="108">
        <v>-268.87059117123744</v>
      </c>
      <c r="D78" s="96">
        <v>-256.53707781475862</v>
      </c>
      <c r="E78" s="96">
        <v>-214.60313240273075</v>
      </c>
      <c r="F78" s="96">
        <v>-251.60367247216703</v>
      </c>
      <c r="G78" s="96">
        <v>-226.93664575920957</v>
      </c>
      <c r="H78" s="96">
        <v>-352.738481995293</v>
      </c>
      <c r="I78" s="96">
        <v>-340.40496863881424</v>
      </c>
      <c r="J78" s="96">
        <v>-374.93880603695499</v>
      </c>
      <c r="K78" s="96">
        <v>-335.47156329622288</v>
      </c>
      <c r="L78" s="96">
        <v>-263.93718582864597</v>
      </c>
      <c r="M78" s="96">
        <v>-234.33675377309677</v>
      </c>
      <c r="N78" s="96">
        <v>-244.20356445827983</v>
      </c>
      <c r="O78" s="109">
        <v>-3364.5824436474113</v>
      </c>
    </row>
    <row r="79" spans="1:15" x14ac:dyDescent="0.25">
      <c r="A79" s="239"/>
      <c r="B79" s="107" t="s">
        <v>48</v>
      </c>
      <c r="C79" s="108">
        <v>947.86602723970702</v>
      </c>
      <c r="D79" s="96">
        <v>904.38593424705994</v>
      </c>
      <c r="E79" s="96">
        <v>756.55361807205975</v>
      </c>
      <c r="F79" s="96">
        <v>886.99389705000101</v>
      </c>
      <c r="G79" s="96">
        <v>800.03371106470684</v>
      </c>
      <c r="H79" s="96">
        <v>1243.5306595897073</v>
      </c>
      <c r="I79" s="96">
        <v>1200.0505665970602</v>
      </c>
      <c r="J79" s="96">
        <v>1321.7948269764722</v>
      </c>
      <c r="K79" s="96">
        <v>1182.6585294000015</v>
      </c>
      <c r="L79" s="96">
        <v>930.47399004264821</v>
      </c>
      <c r="M79" s="96">
        <v>826.12176686029511</v>
      </c>
      <c r="N79" s="96">
        <v>860.90584125441273</v>
      </c>
      <c r="O79" s="109">
        <v>11861.369368394131</v>
      </c>
    </row>
    <row r="80" spans="1:15" x14ac:dyDescent="0.25">
      <c r="A80" s="239"/>
      <c r="B80" s="107" t="s">
        <v>86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5">
      <c r="A81" s="239"/>
      <c r="B81" s="107" t="s">
        <v>88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5">
      <c r="A82" s="97" t="s">
        <v>54</v>
      </c>
      <c r="B82" s="97" t="s">
        <v>69</v>
      </c>
      <c r="C82" s="104">
        <v>69.40754437824468</v>
      </c>
      <c r="D82" s="105">
        <v>63.097767616586076</v>
      </c>
      <c r="E82" s="105">
        <v>63.097767616586076</v>
      </c>
      <c r="F82" s="105">
        <v>44.168437331610249</v>
      </c>
      <c r="G82" s="105">
        <v>82.027097901561902</v>
      </c>
      <c r="H82" s="105">
        <v>75.717321139903291</v>
      </c>
      <c r="I82" s="105">
        <v>94.64665142487911</v>
      </c>
      <c r="J82" s="105">
        <v>75.717321139903291</v>
      </c>
      <c r="K82" s="105">
        <v>88.336874663220499</v>
      </c>
      <c r="L82" s="105">
        <v>69.40754437824468</v>
      </c>
      <c r="M82" s="105">
        <v>56.787990854927472</v>
      </c>
      <c r="N82" s="105">
        <v>50.478214093268861</v>
      </c>
      <c r="O82" s="106">
        <v>832.8905325389361</v>
      </c>
    </row>
    <row r="83" spans="1:15" x14ac:dyDescent="0.25">
      <c r="A83" s="239"/>
      <c r="B83" s="107" t="s">
        <v>25</v>
      </c>
      <c r="C83" s="108">
        <v>-26.248660205578958</v>
      </c>
      <c r="D83" s="96">
        <v>-23.862418368708141</v>
      </c>
      <c r="E83" s="96">
        <v>-23.862418368708141</v>
      </c>
      <c r="F83" s="96">
        <v>-16.703692858095707</v>
      </c>
      <c r="G83" s="96">
        <v>-31.02114387932059</v>
      </c>
      <c r="H83" s="96">
        <v>-28.634902042449781</v>
      </c>
      <c r="I83" s="96">
        <v>-35.793627553062208</v>
      </c>
      <c r="J83" s="96">
        <v>-28.634902042449781</v>
      </c>
      <c r="K83" s="96">
        <v>-33.407385716191413</v>
      </c>
      <c r="L83" s="96">
        <v>-26.248660205578958</v>
      </c>
      <c r="M83" s="96">
        <v>-21.476176531837325</v>
      </c>
      <c r="N83" s="96">
        <v>-19.089934694966516</v>
      </c>
      <c r="O83" s="109">
        <v>-314.98392246694755</v>
      </c>
    </row>
    <row r="84" spans="1:15" x14ac:dyDescent="0.25">
      <c r="A84" s="239"/>
      <c r="B84" s="107" t="s">
        <v>26</v>
      </c>
      <c r="C84" s="108">
        <v>-0.88506917867435475</v>
      </c>
      <c r="D84" s="96">
        <v>-0.80460834424941341</v>
      </c>
      <c r="E84" s="96">
        <v>-0.80460834424941341</v>
      </c>
      <c r="F84" s="96">
        <v>-0.56322584097458939</v>
      </c>
      <c r="G84" s="96">
        <v>-1.0459908475242374</v>
      </c>
      <c r="H84" s="96">
        <v>-0.96553001309929598</v>
      </c>
      <c r="I84" s="96">
        <v>-1.2069125163741201</v>
      </c>
      <c r="J84" s="96">
        <v>-0.96553001309929598</v>
      </c>
      <c r="K84" s="96">
        <v>-1.1264516819491788</v>
      </c>
      <c r="L84" s="96">
        <v>-0.88506917867435475</v>
      </c>
      <c r="M84" s="96">
        <v>-0.72414750982447207</v>
      </c>
      <c r="N84" s="96">
        <v>-0.64368667539953073</v>
      </c>
      <c r="O84" s="109">
        <v>-10.620830144092258</v>
      </c>
    </row>
    <row r="85" spans="1:15" x14ac:dyDescent="0.25">
      <c r="A85" s="239"/>
      <c r="B85" s="107" t="s">
        <v>27</v>
      </c>
      <c r="C85" s="108">
        <v>-27.133729384253311</v>
      </c>
      <c r="D85" s="96">
        <v>-24.667026712957554</v>
      </c>
      <c r="E85" s="96">
        <v>-24.667026712957554</v>
      </c>
      <c r="F85" s="96">
        <v>-17.266918699070295</v>
      </c>
      <c r="G85" s="96">
        <v>-32.067134726844827</v>
      </c>
      <c r="H85" s="96">
        <v>-29.600432055549078</v>
      </c>
      <c r="I85" s="96">
        <v>-37.000540069436326</v>
      </c>
      <c r="J85" s="96">
        <v>-29.600432055549078</v>
      </c>
      <c r="K85" s="96">
        <v>-34.533837398140591</v>
      </c>
      <c r="L85" s="96">
        <v>-27.133729384253311</v>
      </c>
      <c r="M85" s="96">
        <v>-22.200324041661798</v>
      </c>
      <c r="N85" s="96">
        <v>-19.733621370366045</v>
      </c>
      <c r="O85" s="109">
        <v>-325.60475261103977</v>
      </c>
    </row>
    <row r="86" spans="1:15" x14ac:dyDescent="0.25">
      <c r="A86" s="239"/>
      <c r="B86" s="107" t="s">
        <v>48</v>
      </c>
      <c r="C86" s="108">
        <v>95.656204583823637</v>
      </c>
      <c r="D86" s="96">
        <v>86.960185985294217</v>
      </c>
      <c r="E86" s="96">
        <v>86.960185985294217</v>
      </c>
      <c r="F86" s="96">
        <v>60.872130189705956</v>
      </c>
      <c r="G86" s="96">
        <v>113.04824178088249</v>
      </c>
      <c r="H86" s="96">
        <v>104.35222318235307</v>
      </c>
      <c r="I86" s="96">
        <v>130.44027897794132</v>
      </c>
      <c r="J86" s="96">
        <v>104.35222318235307</v>
      </c>
      <c r="K86" s="96">
        <v>121.74426037941191</v>
      </c>
      <c r="L86" s="96">
        <v>95.656204583823637</v>
      </c>
      <c r="M86" s="96">
        <v>78.264167386764797</v>
      </c>
      <c r="N86" s="96">
        <v>69.568148788235376</v>
      </c>
      <c r="O86" s="109">
        <v>1147.8744550058839</v>
      </c>
    </row>
    <row r="87" spans="1:15" x14ac:dyDescent="0.25">
      <c r="A87" s="239"/>
      <c r="B87" s="107" t="s">
        <v>86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5">
      <c r="A88" s="239"/>
      <c r="B88" s="107" t="s">
        <v>88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5">
      <c r="A89" s="97" t="s">
        <v>55</v>
      </c>
      <c r="B89" s="97" t="s">
        <v>69</v>
      </c>
      <c r="C89" s="104">
        <v>126.19553523317215</v>
      </c>
      <c r="D89" s="105">
        <v>119.88575847151354</v>
      </c>
      <c r="E89" s="105">
        <v>119.88575847151354</v>
      </c>
      <c r="F89" s="105">
        <v>132.50531199483075</v>
      </c>
      <c r="G89" s="105">
        <v>145.12486551814797</v>
      </c>
      <c r="H89" s="105">
        <v>182.98352608809961</v>
      </c>
      <c r="I89" s="105">
        <v>208.22263313473405</v>
      </c>
      <c r="J89" s="105">
        <v>214.53240989639266</v>
      </c>
      <c r="K89" s="105">
        <v>189.29330284975822</v>
      </c>
      <c r="L89" s="105">
        <v>132.50531199483075</v>
      </c>
      <c r="M89" s="105">
        <v>100.95642818653772</v>
      </c>
      <c r="N89" s="105">
        <v>119.88575847151354</v>
      </c>
      <c r="O89" s="106">
        <v>1791.9766003110444</v>
      </c>
    </row>
    <row r="90" spans="1:15" x14ac:dyDescent="0.25">
      <c r="A90" s="239"/>
      <c r="B90" s="107" t="s">
        <v>25</v>
      </c>
      <c r="C90" s="108">
        <v>-47.724836737416283</v>
      </c>
      <c r="D90" s="96">
        <v>-45.338594900545488</v>
      </c>
      <c r="E90" s="96">
        <v>-45.338594900545488</v>
      </c>
      <c r="F90" s="96">
        <v>-50.11107857428712</v>
      </c>
      <c r="G90" s="96">
        <v>-54.883562248028738</v>
      </c>
      <c r="H90" s="96">
        <v>-69.201013269253622</v>
      </c>
      <c r="I90" s="96">
        <v>-78.745980616736858</v>
      </c>
      <c r="J90" s="96">
        <v>-81.13222245360771</v>
      </c>
      <c r="K90" s="96">
        <v>-71.587255106124417</v>
      </c>
      <c r="L90" s="96">
        <v>-50.11107857428712</v>
      </c>
      <c r="M90" s="96">
        <v>-38.179869389933032</v>
      </c>
      <c r="N90" s="96">
        <v>-45.338594900545488</v>
      </c>
      <c r="O90" s="109">
        <v>-677.69268167131145</v>
      </c>
    </row>
    <row r="91" spans="1:15" x14ac:dyDescent="0.25">
      <c r="A91" s="239"/>
      <c r="B91" s="107" t="s">
        <v>26</v>
      </c>
      <c r="C91" s="108">
        <v>-1.6092166884988268</v>
      </c>
      <c r="D91" s="96">
        <v>-1.5287558540738855</v>
      </c>
      <c r="E91" s="96">
        <v>-1.5287558540738855</v>
      </c>
      <c r="F91" s="96">
        <v>-1.6896775229237679</v>
      </c>
      <c r="G91" s="96">
        <v>-1.8505991917736506</v>
      </c>
      <c r="H91" s="96">
        <v>-2.3333641983232987</v>
      </c>
      <c r="I91" s="96">
        <v>-2.655207536023064</v>
      </c>
      <c r="J91" s="96">
        <v>-2.7356683704480056</v>
      </c>
      <c r="K91" s="96">
        <v>-2.4138250327482402</v>
      </c>
      <c r="L91" s="96">
        <v>-1.6896775229237679</v>
      </c>
      <c r="M91" s="96">
        <v>-1.2873733507990615</v>
      </c>
      <c r="N91" s="96">
        <v>-1.5287558540738855</v>
      </c>
      <c r="O91" s="109">
        <v>-22.850876976683342</v>
      </c>
    </row>
    <row r="92" spans="1:15" x14ac:dyDescent="0.25">
      <c r="A92" s="239"/>
      <c r="B92" s="107" t="s">
        <v>27</v>
      </c>
      <c r="C92" s="108">
        <v>-49.334053425915108</v>
      </c>
      <c r="D92" s="96">
        <v>-46.867350754619373</v>
      </c>
      <c r="E92" s="96">
        <v>-46.867350754619373</v>
      </c>
      <c r="F92" s="96">
        <v>-51.800756097210886</v>
      </c>
      <c r="G92" s="96">
        <v>-56.734161439802392</v>
      </c>
      <c r="H92" s="96">
        <v>-71.534377467576917</v>
      </c>
      <c r="I92" s="96">
        <v>-81.401188152759929</v>
      </c>
      <c r="J92" s="96">
        <v>-83.867890824055721</v>
      </c>
      <c r="K92" s="96">
        <v>-74.001080138872652</v>
      </c>
      <c r="L92" s="96">
        <v>-51.800756097210886</v>
      </c>
      <c r="M92" s="96">
        <v>-39.46724274073209</v>
      </c>
      <c r="N92" s="96">
        <v>-46.867350754619373</v>
      </c>
      <c r="O92" s="109">
        <v>-700.5435586479947</v>
      </c>
    </row>
    <row r="93" spans="1:15" x14ac:dyDescent="0.25">
      <c r="A93" s="239"/>
      <c r="B93" s="107" t="s">
        <v>48</v>
      </c>
      <c r="C93" s="108">
        <v>173.92037197058843</v>
      </c>
      <c r="D93" s="96">
        <v>165.22435337205903</v>
      </c>
      <c r="E93" s="96">
        <v>165.22435337205903</v>
      </c>
      <c r="F93" s="96">
        <v>182.61639056911787</v>
      </c>
      <c r="G93" s="96">
        <v>200.00842776617671</v>
      </c>
      <c r="H93" s="96">
        <v>252.18453935735323</v>
      </c>
      <c r="I93" s="96">
        <v>286.96861375147091</v>
      </c>
      <c r="J93" s="96">
        <v>295.66463235000037</v>
      </c>
      <c r="K93" s="96">
        <v>260.88055795588264</v>
      </c>
      <c r="L93" s="96">
        <v>182.61639056911787</v>
      </c>
      <c r="M93" s="96">
        <v>139.13629757647075</v>
      </c>
      <c r="N93" s="96">
        <v>165.22435337205903</v>
      </c>
      <c r="O93" s="109">
        <v>2469.6692819823561</v>
      </c>
    </row>
    <row r="94" spans="1:15" x14ac:dyDescent="0.25">
      <c r="A94" s="239"/>
      <c r="B94" s="107" t="s">
        <v>86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5">
      <c r="A95" s="239"/>
      <c r="B95" s="107" t="s">
        <v>88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5">
      <c r="A96" s="97" t="s">
        <v>56</v>
      </c>
      <c r="B96" s="97" t="s">
        <v>69</v>
      </c>
      <c r="C96" s="104">
        <v>220.84218665805128</v>
      </c>
      <c r="D96" s="105">
        <v>214.53240989639266</v>
      </c>
      <c r="E96" s="105">
        <v>189.29330284975822</v>
      </c>
      <c r="F96" s="105">
        <v>201.91285637307544</v>
      </c>
      <c r="G96" s="105">
        <v>227.15196341970989</v>
      </c>
      <c r="H96" s="105">
        <v>265.0106239896615</v>
      </c>
      <c r="I96" s="105">
        <v>296.55950779795455</v>
      </c>
      <c r="J96" s="105">
        <v>302.86928455961316</v>
      </c>
      <c r="K96" s="105">
        <v>277.63017751297872</v>
      </c>
      <c r="L96" s="105">
        <v>189.29330284975822</v>
      </c>
      <c r="M96" s="105">
        <v>195.60307961141683</v>
      </c>
      <c r="N96" s="105">
        <v>214.53240989639266</v>
      </c>
      <c r="O96" s="106">
        <v>2795.2311054147631</v>
      </c>
    </row>
    <row r="97" spans="1:15" x14ac:dyDescent="0.25">
      <c r="A97" s="239"/>
      <c r="B97" s="107" t="s">
        <v>25</v>
      </c>
      <c r="C97" s="108">
        <v>-83.518464290478505</v>
      </c>
      <c r="D97" s="96">
        <v>-81.13222245360771</v>
      </c>
      <c r="E97" s="96">
        <v>-71.587255106124417</v>
      </c>
      <c r="F97" s="96">
        <v>-76.359738779866063</v>
      </c>
      <c r="G97" s="96">
        <v>-85.9047061273493</v>
      </c>
      <c r="H97" s="96">
        <v>-100.22215714857424</v>
      </c>
      <c r="I97" s="96">
        <v>-112.15336633292827</v>
      </c>
      <c r="J97" s="96">
        <v>-114.53960816979912</v>
      </c>
      <c r="K97" s="96">
        <v>-104.99464082231583</v>
      </c>
      <c r="L97" s="96">
        <v>-71.587255106124417</v>
      </c>
      <c r="M97" s="96">
        <v>-73.973496942995268</v>
      </c>
      <c r="N97" s="96">
        <v>-81.13222245360771</v>
      </c>
      <c r="O97" s="109">
        <v>-1057.1051337337708</v>
      </c>
    </row>
    <row r="98" spans="1:15" x14ac:dyDescent="0.25">
      <c r="A98" s="239"/>
      <c r="B98" s="107" t="s">
        <v>26</v>
      </c>
      <c r="C98" s="108">
        <v>-2.8161292048729467</v>
      </c>
      <c r="D98" s="96">
        <v>-2.7356683704480056</v>
      </c>
      <c r="E98" s="96">
        <v>-2.4138250327482402</v>
      </c>
      <c r="F98" s="96">
        <v>-2.5747467015981229</v>
      </c>
      <c r="G98" s="96">
        <v>-2.8965900392978883</v>
      </c>
      <c r="H98" s="96">
        <v>-3.3793550458475359</v>
      </c>
      <c r="I98" s="96">
        <v>-3.7816592179722432</v>
      </c>
      <c r="J98" s="96">
        <v>-3.8621200523971839</v>
      </c>
      <c r="K98" s="96">
        <v>-3.540276714697419</v>
      </c>
      <c r="L98" s="96">
        <v>-2.4138250327482402</v>
      </c>
      <c r="M98" s="96">
        <v>-2.4942858671731813</v>
      </c>
      <c r="N98" s="96">
        <v>-2.7356683704480056</v>
      </c>
      <c r="O98" s="109">
        <v>-35.644149650249012</v>
      </c>
    </row>
    <row r="99" spans="1:15" x14ac:dyDescent="0.25">
      <c r="A99" s="239"/>
      <c r="B99" s="107" t="s">
        <v>27</v>
      </c>
      <c r="C99" s="108">
        <v>-86.334593495351456</v>
      </c>
      <c r="D99" s="96">
        <v>-83.867890824055721</v>
      </c>
      <c r="E99" s="96">
        <v>-74.001080138872652</v>
      </c>
      <c r="F99" s="96">
        <v>-78.934485481464179</v>
      </c>
      <c r="G99" s="96">
        <v>-88.801296166647191</v>
      </c>
      <c r="H99" s="96">
        <v>-103.60151219442177</v>
      </c>
      <c r="I99" s="96">
        <v>-115.93502555090052</v>
      </c>
      <c r="J99" s="96">
        <v>-118.40172822219631</v>
      </c>
      <c r="K99" s="96">
        <v>-108.53491753701324</v>
      </c>
      <c r="L99" s="96">
        <v>-74.001080138872652</v>
      </c>
      <c r="M99" s="96">
        <v>-76.467782810168444</v>
      </c>
      <c r="N99" s="96">
        <v>-83.867890824055721</v>
      </c>
      <c r="O99" s="109">
        <v>-1092.7492833840197</v>
      </c>
    </row>
    <row r="100" spans="1:15" x14ac:dyDescent="0.25">
      <c r="A100" s="239"/>
      <c r="B100" s="107" t="s">
        <v>48</v>
      </c>
      <c r="C100" s="108">
        <v>304.36065094852978</v>
      </c>
      <c r="D100" s="96">
        <v>295.66463235000037</v>
      </c>
      <c r="E100" s="96">
        <v>260.88055795588264</v>
      </c>
      <c r="F100" s="96">
        <v>278.27259515294151</v>
      </c>
      <c r="G100" s="96">
        <v>313.05666954705919</v>
      </c>
      <c r="H100" s="96">
        <v>365.23278113823574</v>
      </c>
      <c r="I100" s="96">
        <v>408.71287413088282</v>
      </c>
      <c r="J100" s="96">
        <v>417.40889272941229</v>
      </c>
      <c r="K100" s="96">
        <v>382.62481833529455</v>
      </c>
      <c r="L100" s="96">
        <v>260.88055795588264</v>
      </c>
      <c r="M100" s="96">
        <v>269.5765765544121</v>
      </c>
      <c r="N100" s="96">
        <v>295.66463235000037</v>
      </c>
      <c r="O100" s="109">
        <v>3852.3362391485339</v>
      </c>
    </row>
    <row r="101" spans="1:15" x14ac:dyDescent="0.25">
      <c r="A101" s="239"/>
      <c r="B101" s="107" t="s">
        <v>86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5">
      <c r="A102" s="239"/>
      <c r="B102" s="107" t="s">
        <v>88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5">
      <c r="A103" s="97" t="s">
        <v>80</v>
      </c>
      <c r="B103" s="97" t="s">
        <v>69</v>
      </c>
      <c r="C103" s="104">
        <v>914.9176304404981</v>
      </c>
      <c r="D103" s="105">
        <v>921.22740720215666</v>
      </c>
      <c r="E103" s="105">
        <v>612.04834588088488</v>
      </c>
      <c r="F103" s="105">
        <v>593.1190155959091</v>
      </c>
      <c r="G103" s="105">
        <v>668.83633673581244</v>
      </c>
      <c r="H103" s="105">
        <v>832.89053253893621</v>
      </c>
      <c r="I103" s="105">
        <v>877.05896987054643</v>
      </c>
      <c r="J103" s="105">
        <v>858.12963958557066</v>
      </c>
      <c r="K103" s="105">
        <v>731.93410435239844</v>
      </c>
      <c r="L103" s="105">
        <v>492.16258740937138</v>
      </c>
      <c r="M103" s="105">
        <v>687.76566702078821</v>
      </c>
      <c r="N103" s="105">
        <v>902.29807691718088</v>
      </c>
      <c r="O103" s="106">
        <v>9092.3883135500528</v>
      </c>
    </row>
    <row r="104" spans="1:15" x14ac:dyDescent="0.25">
      <c r="A104" s="239"/>
      <c r="B104" s="107" t="s">
        <v>25</v>
      </c>
      <c r="C104" s="108">
        <v>-346.00506634626811</v>
      </c>
      <c r="D104" s="96">
        <v>-348.39130818313902</v>
      </c>
      <c r="E104" s="96">
        <v>-231.46545817646904</v>
      </c>
      <c r="F104" s="96">
        <v>-224.30673266585654</v>
      </c>
      <c r="G104" s="96">
        <v>-252.94163470830631</v>
      </c>
      <c r="H104" s="96">
        <v>-314.98392246694743</v>
      </c>
      <c r="I104" s="96">
        <v>-331.68761532504323</v>
      </c>
      <c r="J104" s="96">
        <v>-324.52888981443084</v>
      </c>
      <c r="K104" s="96">
        <v>-276.80405307701449</v>
      </c>
      <c r="L104" s="96">
        <v>-186.12686327592354</v>
      </c>
      <c r="M104" s="96">
        <v>-260.10036021891881</v>
      </c>
      <c r="N104" s="96">
        <v>-341.23258267252641</v>
      </c>
      <c r="O104" s="109">
        <v>-3438.5744869308437</v>
      </c>
    </row>
    <row r="105" spans="1:15" x14ac:dyDescent="0.25">
      <c r="A105" s="239"/>
      <c r="B105" s="107" t="s">
        <v>26</v>
      </c>
      <c r="C105" s="108">
        <v>-11.666820991616493</v>
      </c>
      <c r="D105" s="96">
        <v>-11.747281826041435</v>
      </c>
      <c r="E105" s="96">
        <v>-7.804700939219309</v>
      </c>
      <c r="F105" s="96">
        <v>-7.5633184359444865</v>
      </c>
      <c r="G105" s="96">
        <v>-8.5288484490437817</v>
      </c>
      <c r="H105" s="96">
        <v>-10.620830144092256</v>
      </c>
      <c r="I105" s="96">
        <v>-11.184055985066845</v>
      </c>
      <c r="J105" s="96">
        <v>-10.942673481792022</v>
      </c>
      <c r="K105" s="96">
        <v>-9.3334567932931947</v>
      </c>
      <c r="L105" s="96">
        <v>-6.2759450851454242</v>
      </c>
      <c r="M105" s="96">
        <v>-8.7702309523186059</v>
      </c>
      <c r="N105" s="96">
        <v>-11.505899322766611</v>
      </c>
      <c r="O105" s="109">
        <v>-115.94406240634048</v>
      </c>
    </row>
    <row r="106" spans="1:15" x14ac:dyDescent="0.25">
      <c r="A106" s="239"/>
      <c r="B106" s="107" t="s">
        <v>27</v>
      </c>
      <c r="C106" s="108">
        <v>-357.67188733788458</v>
      </c>
      <c r="D106" s="96">
        <v>-360.13859000918046</v>
      </c>
      <c r="E106" s="96">
        <v>-239.27015911568836</v>
      </c>
      <c r="F106" s="96">
        <v>-231.87005110180104</v>
      </c>
      <c r="G106" s="96">
        <v>-261.47048315735009</v>
      </c>
      <c r="H106" s="96">
        <v>-325.60475261103971</v>
      </c>
      <c r="I106" s="96">
        <v>-342.87167131011006</v>
      </c>
      <c r="J106" s="96">
        <v>-335.47156329622288</v>
      </c>
      <c r="K106" s="96">
        <v>-286.13750987030767</v>
      </c>
      <c r="L106" s="96">
        <v>-192.40280836106896</v>
      </c>
      <c r="M106" s="96">
        <v>-268.87059117123744</v>
      </c>
      <c r="N106" s="96">
        <v>-352.738481995293</v>
      </c>
      <c r="O106" s="109">
        <v>-3554.5185493371837</v>
      </c>
    </row>
    <row r="107" spans="1:15" x14ac:dyDescent="0.25">
      <c r="A107" s="239"/>
      <c r="B107" s="107" t="s">
        <v>48</v>
      </c>
      <c r="C107" s="108">
        <v>1260.9226967867662</v>
      </c>
      <c r="D107" s="96">
        <v>1269.6187153852957</v>
      </c>
      <c r="E107" s="96">
        <v>843.51380405735392</v>
      </c>
      <c r="F107" s="96">
        <v>817.42574826176565</v>
      </c>
      <c r="G107" s="96">
        <v>921.77797144411875</v>
      </c>
      <c r="H107" s="96">
        <v>1147.8744550058836</v>
      </c>
      <c r="I107" s="96">
        <v>1208.7465851955897</v>
      </c>
      <c r="J107" s="96">
        <v>1182.6585294000015</v>
      </c>
      <c r="K107" s="96">
        <v>1008.7381574294129</v>
      </c>
      <c r="L107" s="96">
        <v>678.28945068529492</v>
      </c>
      <c r="M107" s="96">
        <v>947.86602723970702</v>
      </c>
      <c r="N107" s="96">
        <v>1243.5306595897073</v>
      </c>
      <c r="O107" s="109">
        <v>12530.962800480895</v>
      </c>
    </row>
    <row r="108" spans="1:15" x14ac:dyDescent="0.25">
      <c r="A108" s="239"/>
      <c r="B108" s="107" t="s">
        <v>86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5">
      <c r="A109" s="239"/>
      <c r="B109" s="107" t="s">
        <v>88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5">
      <c r="A110" s="97" t="s">
        <v>82</v>
      </c>
      <c r="B110" s="97" t="s">
        <v>69</v>
      </c>
      <c r="C110" s="104">
        <v>258.70084722800289</v>
      </c>
      <c r="D110" s="105">
        <v>214.53240989639266</v>
      </c>
      <c r="E110" s="105">
        <v>157.74441904146519</v>
      </c>
      <c r="F110" s="105">
        <v>195.60307961141683</v>
      </c>
      <c r="G110" s="105">
        <v>176.673749326441</v>
      </c>
      <c r="H110" s="105">
        <v>290.24973103629594</v>
      </c>
      <c r="I110" s="105">
        <v>290.24973103629594</v>
      </c>
      <c r="J110" s="105">
        <v>271.32040075132011</v>
      </c>
      <c r="K110" s="105">
        <v>258.70084722800289</v>
      </c>
      <c r="L110" s="105">
        <v>201.91285637307544</v>
      </c>
      <c r="M110" s="105">
        <v>189.29330284975822</v>
      </c>
      <c r="N110" s="105">
        <v>246.08129370468569</v>
      </c>
      <c r="O110" s="106">
        <v>2751.0626680831529</v>
      </c>
    </row>
    <row r="111" spans="1:15" x14ac:dyDescent="0.25">
      <c r="A111" s="239"/>
      <c r="B111" s="107" t="s">
        <v>25</v>
      </c>
      <c r="C111" s="108">
        <v>-97.835915311703445</v>
      </c>
      <c r="D111" s="96">
        <v>-81.13222245360771</v>
      </c>
      <c r="E111" s="96">
        <v>-59.656045921770357</v>
      </c>
      <c r="F111" s="96">
        <v>-73.973496942995268</v>
      </c>
      <c r="G111" s="96">
        <v>-66.814771432382827</v>
      </c>
      <c r="H111" s="96">
        <v>-109.76712449605748</v>
      </c>
      <c r="I111" s="96">
        <v>-109.76712449605748</v>
      </c>
      <c r="J111" s="96">
        <v>-102.60839898544504</v>
      </c>
      <c r="K111" s="96">
        <v>-97.835915311703445</v>
      </c>
      <c r="L111" s="96">
        <v>-76.359738779866063</v>
      </c>
      <c r="M111" s="96">
        <v>-71.587255106124417</v>
      </c>
      <c r="N111" s="96">
        <v>-93.06343163796177</v>
      </c>
      <c r="O111" s="109">
        <v>-1040.4014408756755</v>
      </c>
    </row>
    <row r="112" spans="1:15" x14ac:dyDescent="0.25">
      <c r="A112" s="239"/>
      <c r="B112" s="107" t="s">
        <v>26</v>
      </c>
      <c r="C112" s="108">
        <v>-3.2988942114225952</v>
      </c>
      <c r="D112" s="96">
        <v>-2.7356683704480056</v>
      </c>
      <c r="E112" s="96">
        <v>-2.0115208606235333</v>
      </c>
      <c r="F112" s="96">
        <v>-2.4942858671731813</v>
      </c>
      <c r="G112" s="96">
        <v>-2.2529033638983575</v>
      </c>
      <c r="H112" s="96">
        <v>-3.7011983835473012</v>
      </c>
      <c r="I112" s="96">
        <v>-3.7011983835473012</v>
      </c>
      <c r="J112" s="96">
        <v>-3.4598158802724774</v>
      </c>
      <c r="K112" s="96">
        <v>-3.2988942114225952</v>
      </c>
      <c r="L112" s="96">
        <v>-2.5747467015981229</v>
      </c>
      <c r="M112" s="96">
        <v>-2.4138250327482402</v>
      </c>
      <c r="N112" s="96">
        <v>-3.1379725425727121</v>
      </c>
      <c r="O112" s="109">
        <v>-35.080923809274417</v>
      </c>
    </row>
    <row r="113" spans="1:15" x14ac:dyDescent="0.25">
      <c r="A113" s="239"/>
      <c r="B113" s="107" t="s">
        <v>27</v>
      </c>
      <c r="C113" s="108">
        <v>-101.13480952312604</v>
      </c>
      <c r="D113" s="96">
        <v>-83.867890824055721</v>
      </c>
      <c r="E113" s="96">
        <v>-61.667566782393891</v>
      </c>
      <c r="F113" s="96">
        <v>-76.467782810168444</v>
      </c>
      <c r="G113" s="96">
        <v>-69.067674796281182</v>
      </c>
      <c r="H113" s="96">
        <v>-113.46832287960478</v>
      </c>
      <c r="I113" s="96">
        <v>-113.46832287960478</v>
      </c>
      <c r="J113" s="96">
        <v>-106.06821486571751</v>
      </c>
      <c r="K113" s="96">
        <v>-101.13480952312604</v>
      </c>
      <c r="L113" s="96">
        <v>-78.934485481464179</v>
      </c>
      <c r="M113" s="96">
        <v>-74.001080138872652</v>
      </c>
      <c r="N113" s="96">
        <v>-96.201404180534482</v>
      </c>
      <c r="O113" s="109">
        <v>-1075.4823646849497</v>
      </c>
    </row>
    <row r="114" spans="1:15" x14ac:dyDescent="0.25">
      <c r="A114" s="239"/>
      <c r="B114" s="107" t="s">
        <v>48</v>
      </c>
      <c r="C114" s="108">
        <v>356.53676253970633</v>
      </c>
      <c r="D114" s="96">
        <v>295.66463235000037</v>
      </c>
      <c r="E114" s="96">
        <v>217.40046496323555</v>
      </c>
      <c r="F114" s="96">
        <v>269.5765765544121</v>
      </c>
      <c r="G114" s="96">
        <v>243.48852075882382</v>
      </c>
      <c r="H114" s="96">
        <v>400.01685553235342</v>
      </c>
      <c r="I114" s="96">
        <v>400.01685553235342</v>
      </c>
      <c r="J114" s="96">
        <v>373.92879973676514</v>
      </c>
      <c r="K114" s="96">
        <v>356.53676253970633</v>
      </c>
      <c r="L114" s="96">
        <v>278.27259515294151</v>
      </c>
      <c r="M114" s="96">
        <v>260.88055795588264</v>
      </c>
      <c r="N114" s="96">
        <v>339.14472534264746</v>
      </c>
      <c r="O114" s="109">
        <v>3791.4641089588276</v>
      </c>
    </row>
    <row r="115" spans="1:15" x14ac:dyDescent="0.25">
      <c r="A115" s="239"/>
      <c r="B115" s="107" t="s">
        <v>86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5">
      <c r="A116" s="239"/>
      <c r="B116" s="107" t="s">
        <v>88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5">
      <c r="A117" s="97" t="s">
        <v>70</v>
      </c>
      <c r="B117" s="98"/>
      <c r="C117" s="104">
        <v>47954.303388605411</v>
      </c>
      <c r="D117" s="105">
        <v>48395.987761921519</v>
      </c>
      <c r="E117" s="105">
        <v>40830.565424692846</v>
      </c>
      <c r="F117" s="105">
        <v>44218.915545703523</v>
      </c>
      <c r="G117" s="105">
        <v>46137.087681247736</v>
      </c>
      <c r="H117" s="105">
        <v>57053.00147891714</v>
      </c>
      <c r="I117" s="105">
        <v>60636.954679539223</v>
      </c>
      <c r="J117" s="105">
        <v>62479.409493943524</v>
      </c>
      <c r="K117" s="105">
        <v>55141.139120134561</v>
      </c>
      <c r="L117" s="105">
        <v>45764.810852309878</v>
      </c>
      <c r="M117" s="105">
        <v>42250.265196066037</v>
      </c>
      <c r="N117" s="105">
        <v>47853.346960418872</v>
      </c>
      <c r="O117" s="106">
        <v>598715.78758350026</v>
      </c>
    </row>
    <row r="118" spans="1:15" ht="13" x14ac:dyDescent="0.3">
      <c r="A118" s="97" t="s">
        <v>28</v>
      </c>
      <c r="B118" s="98"/>
      <c r="C118" s="246">
        <v>-18135.437960218191</v>
      </c>
      <c r="D118" s="247">
        <v>-18302.474888799155</v>
      </c>
      <c r="E118" s="247">
        <v>-15441.370926391042</v>
      </c>
      <c r="F118" s="247">
        <v>-16722.782792790669</v>
      </c>
      <c r="G118" s="247">
        <v>-17448.200311199391</v>
      </c>
      <c r="H118" s="247">
        <v>-21576.398688985908</v>
      </c>
      <c r="I118" s="247">
        <v>-22931.784052328527</v>
      </c>
      <c r="J118" s="247">
        <v>-23628.56666869481</v>
      </c>
      <c r="K118" s="247">
        <v>-20853.367412414053</v>
      </c>
      <c r="L118" s="247">
        <v>-17307.412042824017</v>
      </c>
      <c r="M118" s="247">
        <v>-15978.275339686974</v>
      </c>
      <c r="N118" s="247">
        <v>-18097.258090828258</v>
      </c>
      <c r="O118" s="248">
        <v>-226423.32917516099</v>
      </c>
    </row>
    <row r="119" spans="1:15" ht="13" x14ac:dyDescent="0.3">
      <c r="A119" s="97" t="s">
        <v>29</v>
      </c>
      <c r="B119" s="98"/>
      <c r="C119" s="246">
        <v>-611.50234162955417</v>
      </c>
      <c r="D119" s="247">
        <v>-617.13460003930015</v>
      </c>
      <c r="E119" s="247">
        <v>-520.66205956379531</v>
      </c>
      <c r="F119" s="247">
        <v>-563.86952764998875</v>
      </c>
      <c r="G119" s="247">
        <v>-588.32962131517104</v>
      </c>
      <c r="H119" s="247">
        <v>-727.52686487031951</v>
      </c>
      <c r="I119" s="247">
        <v>-773.22861882368636</v>
      </c>
      <c r="J119" s="247">
        <v>-796.72318247576902</v>
      </c>
      <c r="K119" s="247">
        <v>-703.14723203956225</v>
      </c>
      <c r="L119" s="247">
        <v>-583.58243208409954</v>
      </c>
      <c r="M119" s="247">
        <v>-538.76574730940717</v>
      </c>
      <c r="N119" s="247">
        <v>-610.21496827875512</v>
      </c>
      <c r="O119" s="248">
        <v>-7634.6871960794097</v>
      </c>
    </row>
    <row r="120" spans="1:15" ht="13" x14ac:dyDescent="0.3">
      <c r="A120" s="97" t="s">
        <v>30</v>
      </c>
      <c r="B120" s="98"/>
      <c r="C120" s="246">
        <v>-18746.940301847746</v>
      </c>
      <c r="D120" s="247">
        <v>-18919.60948883845</v>
      </c>
      <c r="E120" s="247">
        <v>-15962.032985954835</v>
      </c>
      <c r="F120" s="247">
        <v>-17286.652320440651</v>
      </c>
      <c r="G120" s="247">
        <v>-18036.529932514568</v>
      </c>
      <c r="H120" s="247">
        <v>-22303.925553856228</v>
      </c>
      <c r="I120" s="247">
        <v>-23705.012671152213</v>
      </c>
      <c r="J120" s="247">
        <v>-24425.289851170575</v>
      </c>
      <c r="K120" s="247">
        <v>-21556.514644453608</v>
      </c>
      <c r="L120" s="247">
        <v>-17890.994474908115</v>
      </c>
      <c r="M120" s="247">
        <v>-16517.041086996382</v>
      </c>
      <c r="N120" s="247">
        <v>-18707.473059107011</v>
      </c>
      <c r="O120" s="248">
        <v>-234058.0163712404</v>
      </c>
    </row>
    <row r="121" spans="1:15" x14ac:dyDescent="0.25">
      <c r="A121" s="97" t="s">
        <v>60</v>
      </c>
      <c r="B121" s="98"/>
      <c r="C121" s="104">
        <v>66089.741348823605</v>
      </c>
      <c r="D121" s="105">
        <v>66698.462650720685</v>
      </c>
      <c r="E121" s="105">
        <v>56271.936351083888</v>
      </c>
      <c r="F121" s="105">
        <v>60941.698338494207</v>
      </c>
      <c r="G121" s="105">
        <v>63585.287992447127</v>
      </c>
      <c r="H121" s="105">
        <v>78629.400167903063</v>
      </c>
      <c r="I121" s="105">
        <v>83568.738731867736</v>
      </c>
      <c r="J121" s="105">
        <v>86107.976162638341</v>
      </c>
      <c r="K121" s="105">
        <v>75994.506532548636</v>
      </c>
      <c r="L121" s="105">
        <v>63072.222895133913</v>
      </c>
      <c r="M121" s="105">
        <v>58228.540535753003</v>
      </c>
      <c r="N121" s="105">
        <v>65950.605051247141</v>
      </c>
      <c r="O121" s="106">
        <v>825139.11675866123</v>
      </c>
    </row>
    <row r="122" spans="1:15" x14ac:dyDescent="0.25">
      <c r="A122" s="97" t="s">
        <v>87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5">
      <c r="A123" s="110" t="s">
        <v>89</v>
      </c>
      <c r="B123" s="240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zoomScale="80" zoomScaleNormal="80" zoomScaleSheetLayoutView="100" workbookViewId="0">
      <selection activeCell="M14" sqref="M14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63" customWidth="1"/>
    <col min="5" max="5" width="24.26953125" style="1" customWidth="1"/>
    <col min="6" max="6" width="7.7265625" style="163" customWidth="1"/>
    <col min="7" max="7" width="6.7265625" style="163" customWidth="1"/>
    <col min="8" max="8" width="11.1796875" style="163" bestFit="1" customWidth="1"/>
    <col min="9" max="9" width="11.26953125" style="164" customWidth="1"/>
    <col min="10" max="10" width="14.81640625" style="163" bestFit="1" customWidth="1"/>
    <col min="11" max="11" width="14.81640625" style="165" bestFit="1" customWidth="1"/>
    <col min="12" max="12" width="14.7265625" style="163" customWidth="1"/>
    <col min="13" max="13" width="13.453125" style="125" bestFit="1" customWidth="1"/>
    <col min="14" max="15" width="13.453125" style="125" customWidth="1"/>
    <col min="16" max="16" width="14.81640625" style="125" bestFit="1" customWidth="1"/>
    <col min="17" max="17" width="13.453125" style="125" customWidth="1"/>
    <col min="18" max="18" width="15.54296875" style="238" customWidth="1"/>
    <col min="19" max="16384" width="8.7265625" style="1"/>
  </cols>
  <sheetData>
    <row r="1" spans="2:18" ht="21.5" x14ac:dyDescent="0.3">
      <c r="B1" s="10" t="s">
        <v>96</v>
      </c>
      <c r="C1" s="114"/>
      <c r="D1" s="115"/>
      <c r="E1" s="114"/>
      <c r="F1" s="116" t="s">
        <v>12</v>
      </c>
      <c r="G1" s="117"/>
      <c r="H1" s="118"/>
      <c r="I1" s="119"/>
      <c r="J1" s="120" t="str">
        <f>"True-Up ARR
(CY"&amp;R1&amp;")"</f>
        <v>True-Up ARR
(CY2020)</v>
      </c>
      <c r="K1" s="120" t="str">
        <f>"Projected ARR
(Jan'"&amp;RIGHT(R$1,2)&amp;" - Dec'"&amp;RIGHT(R$1,2)&amp;")"</f>
        <v>Projected ARR
(Jan'20 - Dec'20)</v>
      </c>
      <c r="L1" s="121" t="s">
        <v>44</v>
      </c>
      <c r="M1" s="122"/>
      <c r="N1" s="52"/>
      <c r="O1" s="52"/>
      <c r="P1" s="52"/>
      <c r="Q1" s="52"/>
      <c r="R1" s="123">
        <v>2020</v>
      </c>
    </row>
    <row r="2" spans="2:18" ht="13" x14ac:dyDescent="0.3">
      <c r="B2" s="10" t="s">
        <v>51</v>
      </c>
      <c r="C2" s="114"/>
      <c r="D2" s="115"/>
      <c r="E2" s="114"/>
      <c r="F2" s="124">
        <v>1</v>
      </c>
      <c r="G2" s="250"/>
      <c r="H2" s="250"/>
      <c r="I2" s="126" t="s">
        <v>6</v>
      </c>
      <c r="J2" s="127">
        <v>598715.78758350026</v>
      </c>
      <c r="K2" s="127">
        <v>871028.00690310099</v>
      </c>
      <c r="L2" s="128"/>
      <c r="M2" s="129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CY2020 SPP Network Transmission Service</v>
      </c>
      <c r="C3" s="114"/>
      <c r="D3" s="115"/>
      <c r="E3" s="114"/>
      <c r="F3" s="124"/>
      <c r="G3" s="250"/>
      <c r="H3" s="250"/>
      <c r="I3" s="126" t="s">
        <v>10</v>
      </c>
      <c r="J3" s="130">
        <v>6.3097767616586076</v>
      </c>
      <c r="K3" s="130">
        <v>8.6960185985294221</v>
      </c>
      <c r="L3" s="131" t="str">
        <f>"Inv. Jan-Dec'"&amp;RIGHT(R1,2)</f>
        <v>Inv. Jan-Dec'20</v>
      </c>
      <c r="M3" s="129"/>
      <c r="N3" s="52"/>
      <c r="O3" s="52"/>
      <c r="P3" s="52"/>
      <c r="Q3" s="52"/>
      <c r="R3" s="1"/>
    </row>
    <row r="4" spans="2:18" ht="13" x14ac:dyDescent="0.3">
      <c r="B4" s="9"/>
      <c r="C4" s="114"/>
      <c r="D4" s="115"/>
      <c r="E4" s="114"/>
      <c r="F4" s="124"/>
      <c r="G4" s="125"/>
      <c r="H4" s="125"/>
      <c r="I4" s="51"/>
      <c r="J4" s="125"/>
      <c r="K4" s="132"/>
      <c r="L4" s="125"/>
      <c r="M4" s="133"/>
      <c r="R4" s="1"/>
    </row>
    <row r="5" spans="2:18" ht="13" x14ac:dyDescent="0.3">
      <c r="B5" s="9"/>
      <c r="C5" s="114"/>
      <c r="D5" s="115"/>
      <c r="E5" s="114"/>
      <c r="F5" s="124"/>
      <c r="G5" s="125"/>
      <c r="H5" s="125"/>
      <c r="I5" s="126"/>
      <c r="J5" s="125"/>
      <c r="K5" s="127">
        <v>0</v>
      </c>
      <c r="L5" s="241"/>
      <c r="M5" s="134"/>
      <c r="N5" s="135"/>
      <c r="O5" s="135"/>
      <c r="P5" s="135"/>
      <c r="Q5" s="135"/>
      <c r="R5" s="136"/>
    </row>
    <row r="6" spans="2:18" ht="13" x14ac:dyDescent="0.3">
      <c r="B6" s="10" t="s">
        <v>23</v>
      </c>
      <c r="D6" s="115"/>
      <c r="E6" s="114"/>
      <c r="F6" s="137"/>
      <c r="G6" s="138"/>
      <c r="H6" s="139"/>
      <c r="I6" s="140"/>
      <c r="J6" s="141"/>
      <c r="K6" s="130">
        <v>0</v>
      </c>
      <c r="L6" s="142"/>
      <c r="M6" s="134"/>
      <c r="N6" s="135"/>
      <c r="O6" s="135"/>
      <c r="P6" s="135"/>
      <c r="Q6" s="135"/>
      <c r="R6" s="1"/>
    </row>
    <row r="7" spans="2:18" ht="13" x14ac:dyDescent="0.3">
      <c r="B7" s="9" t="s">
        <v>76</v>
      </c>
      <c r="D7" s="115"/>
      <c r="E7" s="114"/>
      <c r="F7" s="124"/>
      <c r="G7" s="251"/>
      <c r="H7" s="250"/>
      <c r="I7" s="126"/>
      <c r="J7" s="143"/>
      <c r="K7" s="128"/>
      <c r="L7" s="128"/>
      <c r="M7" s="144"/>
      <c r="N7" s="145"/>
      <c r="O7" s="145"/>
      <c r="P7" s="145"/>
      <c r="Q7" s="145"/>
      <c r="R7" s="1"/>
    </row>
    <row r="8" spans="2:18" ht="13" x14ac:dyDescent="0.3">
      <c r="B8" s="10"/>
      <c r="C8" s="114"/>
      <c r="D8" s="115"/>
      <c r="E8" s="114"/>
      <c r="F8" s="124"/>
      <c r="G8" s="250"/>
      <c r="H8" s="250"/>
      <c r="I8" s="126"/>
      <c r="J8" s="146"/>
      <c r="K8" s="128"/>
      <c r="L8" s="147"/>
      <c r="M8" s="129"/>
      <c r="N8" s="52"/>
      <c r="O8" s="52"/>
      <c r="P8" s="52"/>
      <c r="Q8" s="52"/>
      <c r="R8" s="136"/>
    </row>
    <row r="9" spans="2:18" ht="13" x14ac:dyDescent="0.3">
      <c r="B9" s="148"/>
      <c r="C9" s="114"/>
      <c r="D9" s="115"/>
      <c r="E9" s="114"/>
      <c r="F9" s="124"/>
      <c r="G9" s="125"/>
      <c r="H9" s="125"/>
      <c r="I9" s="149"/>
      <c r="J9" s="150"/>
      <c r="K9" s="151"/>
      <c r="L9" s="152"/>
      <c r="M9" s="129"/>
      <c r="N9" s="52"/>
      <c r="O9" s="52"/>
      <c r="P9" s="52"/>
      <c r="Q9" s="52"/>
      <c r="R9" s="136"/>
    </row>
    <row r="10" spans="2:18" ht="13.5" thickBot="1" x14ac:dyDescent="0.35">
      <c r="B10" s="9"/>
      <c r="D10" s="1"/>
      <c r="E10" s="153"/>
      <c r="F10" s="154"/>
      <c r="G10" s="155"/>
      <c r="H10" s="156"/>
      <c r="I10" s="157"/>
      <c r="J10" s="158"/>
      <c r="K10" s="158"/>
      <c r="L10" s="159"/>
      <c r="M10" s="160"/>
      <c r="R10" s="161"/>
    </row>
    <row r="11" spans="2:18" ht="13" x14ac:dyDescent="0.3">
      <c r="B11" s="162"/>
      <c r="E11" s="153"/>
      <c r="L11" s="166"/>
      <c r="M11" s="1"/>
      <c r="N11" s="1"/>
      <c r="O11" s="1"/>
      <c r="P11" s="1"/>
      <c r="Q11" s="1"/>
      <c r="R11" s="136"/>
    </row>
    <row r="12" spans="2:18" x14ac:dyDescent="0.25">
      <c r="E12" s="153"/>
      <c r="L12" s="166"/>
      <c r="R12" s="167" t="s">
        <v>59</v>
      </c>
    </row>
    <row r="13" spans="2:18" ht="13" x14ac:dyDescent="0.3">
      <c r="E13" s="153"/>
      <c r="F13" s="168"/>
      <c r="G13" s="169"/>
      <c r="H13" s="169"/>
      <c r="I13" s="170" t="s">
        <v>57</v>
      </c>
      <c r="J13" s="171">
        <f t="shared" ref="J13:R13" si="0">SUM(J56:J211)</f>
        <v>153056.25490755288</v>
      </c>
      <c r="K13" s="171">
        <f t="shared" si="0"/>
        <v>210939.32314452817</v>
      </c>
      <c r="L13" s="172">
        <f t="shared" si="0"/>
        <v>-57883.068236975356</v>
      </c>
      <c r="M13" s="173">
        <f t="shared" si="0"/>
        <v>-1951.7384606458013</v>
      </c>
      <c r="N13" s="171">
        <f t="shared" si="0"/>
        <v>-59834.806697621127</v>
      </c>
      <c r="O13" s="171">
        <f t="shared" si="0"/>
        <v>0</v>
      </c>
      <c r="P13" s="171">
        <f t="shared" si="0"/>
        <v>0</v>
      </c>
      <c r="Q13" s="171">
        <f t="shared" si="0"/>
        <v>0</v>
      </c>
      <c r="R13" s="172">
        <f t="shared" si="0"/>
        <v>-59834.806697621127</v>
      </c>
    </row>
    <row r="14" spans="2:18" ht="13" x14ac:dyDescent="0.3">
      <c r="E14" s="153"/>
      <c r="F14" s="174"/>
      <c r="G14" s="174"/>
      <c r="H14" s="174"/>
      <c r="I14" s="175" t="s">
        <v>58</v>
      </c>
      <c r="J14" s="171">
        <f>SUM(J20:J211)</f>
        <v>598715.78758350061</v>
      </c>
      <c r="K14" s="171">
        <f>SUM(K20:K211)</f>
        <v>825139.116758661</v>
      </c>
      <c r="L14" s="172">
        <f>SUM(L20:L211)</f>
        <v>-226423.32917516114</v>
      </c>
      <c r="M14" s="242">
        <v>-7634.6871960794087</v>
      </c>
      <c r="N14" s="171">
        <f>SUM(N20:N211)</f>
        <v>-234058.01637124032</v>
      </c>
      <c r="O14" s="171">
        <f>SUM(O20:O211)</f>
        <v>0</v>
      </c>
      <c r="P14" s="171">
        <f>SUM(P20:P211)</f>
        <v>0</v>
      </c>
      <c r="Q14" s="171">
        <f>SUM(Q20:Q211)</f>
        <v>0</v>
      </c>
      <c r="R14" s="172">
        <f>SUM(R20:R211)</f>
        <v>-234058.01637124032</v>
      </c>
    </row>
    <row r="15" spans="2:18" x14ac:dyDescent="0.25">
      <c r="B15" s="176" t="s">
        <v>81</v>
      </c>
      <c r="E15" s="153"/>
      <c r="J15" s="164"/>
      <c r="L15" s="166"/>
      <c r="M15" s="177"/>
      <c r="N15" s="177"/>
      <c r="O15" s="177"/>
      <c r="P15" s="177"/>
      <c r="Q15" s="177"/>
      <c r="R15" s="178" t="s">
        <v>20</v>
      </c>
    </row>
    <row r="16" spans="2:18" x14ac:dyDescent="0.25">
      <c r="B16" s="179" t="str">
        <f>"** Actual Trued-Up CY"&amp;R1&amp;" Charge reflects "&amp;R1&amp;" True-UP Rate x MW"</f>
        <v>** Actual Trued-Up CY2020 Charge reflects 2020 True-UP Rate x MW</v>
      </c>
      <c r="E16" s="153"/>
      <c r="F16" s="125"/>
      <c r="G16" s="5"/>
      <c r="J16" s="180"/>
      <c r="L16" s="181" t="s">
        <v>11</v>
      </c>
      <c r="M16" s="177"/>
      <c r="N16" s="177"/>
      <c r="O16" s="177"/>
      <c r="P16" s="177"/>
      <c r="Q16" s="177"/>
      <c r="R16" s="182"/>
    </row>
    <row r="17" spans="1:18" x14ac:dyDescent="0.25">
      <c r="B17" s="183" t="s">
        <v>61</v>
      </c>
      <c r="E17" s="153"/>
      <c r="I17" s="184"/>
      <c r="J17" s="185"/>
      <c r="K17" s="186"/>
      <c r="L17" s="186"/>
      <c r="M17" s="186"/>
      <c r="N17" s="186"/>
      <c r="O17" s="186"/>
      <c r="P17" s="186"/>
      <c r="Q17" s="186"/>
      <c r="R17" s="187"/>
    </row>
    <row r="18" spans="1:18" ht="3.65" customHeight="1" x14ac:dyDescent="0.25">
      <c r="I18" s="188"/>
      <c r="J18" s="185"/>
      <c r="K18" s="188"/>
      <c r="L18" s="188"/>
      <c r="M18" s="189"/>
      <c r="N18" s="189"/>
      <c r="O18" s="189"/>
      <c r="P18" s="189"/>
      <c r="Q18" s="189"/>
      <c r="R18" s="190"/>
    </row>
    <row r="19" spans="1:18" ht="38.25" customHeight="1" x14ac:dyDescent="0.25">
      <c r="B19" s="191" t="s">
        <v>52</v>
      </c>
      <c r="C19" s="192" t="s">
        <v>4</v>
      </c>
      <c r="D19" s="192" t="s">
        <v>5</v>
      </c>
      <c r="E19" s="193" t="s">
        <v>0</v>
      </c>
      <c r="F19" s="194" t="s">
        <v>12</v>
      </c>
      <c r="G19" s="195" t="s">
        <v>1</v>
      </c>
      <c r="H19" s="196" t="s">
        <v>47</v>
      </c>
      <c r="I19" s="196" t="s">
        <v>45</v>
      </c>
      <c r="J19" s="197" t="str">
        <f>"True-Up Charge"</f>
        <v>True-Up Charge</v>
      </c>
      <c r="K19" s="197" t="s">
        <v>46</v>
      </c>
      <c r="L19" s="198" t="s">
        <v>3</v>
      </c>
      <c r="M19" s="199" t="s">
        <v>7</v>
      </c>
      <c r="N19" s="200" t="s">
        <v>98</v>
      </c>
      <c r="O19" s="200" t="s">
        <v>83</v>
      </c>
      <c r="P19" s="200" t="s">
        <v>84</v>
      </c>
      <c r="Q19" s="200" t="s">
        <v>85</v>
      </c>
      <c r="R19" s="201" t="s">
        <v>2</v>
      </c>
    </row>
    <row r="20" spans="1:18" s="52" customFormat="1" ht="12.75" customHeight="1" x14ac:dyDescent="0.25">
      <c r="A20" s="125">
        <v>1</v>
      </c>
      <c r="B20" s="202">
        <f>DATE($R$1,A20,1)</f>
        <v>43831</v>
      </c>
      <c r="C20" s="203">
        <v>43866</v>
      </c>
      <c r="D20" s="203">
        <v>43885</v>
      </c>
      <c r="E20" s="204" t="s">
        <v>21</v>
      </c>
      <c r="F20" s="125">
        <v>9</v>
      </c>
      <c r="G20" s="205">
        <v>2580</v>
      </c>
      <c r="H20" s="206">
        <f>+$K$3</f>
        <v>8.6960185985294221</v>
      </c>
      <c r="I20" s="206">
        <f t="shared" ref="I20:I63" si="1">$J$3</f>
        <v>6.3097767616586076</v>
      </c>
      <c r="J20" s="207">
        <f t="shared" ref="J20:J108" si="2">+$G20*I20</f>
        <v>16279.224045079207</v>
      </c>
      <c r="K20" s="208">
        <f>+$G20*H20</f>
        <v>22435.727984205911</v>
      </c>
      <c r="L20" s="209">
        <f t="shared" ref="L20:L34" si="3">+J20-K20</f>
        <v>-6156.5039391267037</v>
      </c>
      <c r="M20" s="210">
        <f>G20/$G$212*$M$14</f>
        <v>-207.58895281634867</v>
      </c>
      <c r="N20" s="211">
        <f>SUM(L20:M20)</f>
        <v>-6364.0928919430526</v>
      </c>
      <c r="O20" s="210">
        <v>0</v>
      </c>
      <c r="P20" s="210">
        <v>0</v>
      </c>
      <c r="Q20" s="210">
        <v>0</v>
      </c>
      <c r="R20" s="211">
        <f>+N20-Q20</f>
        <v>-6364.0928919430526</v>
      </c>
    </row>
    <row r="21" spans="1:18" x14ac:dyDescent="0.25">
      <c r="A21" s="163">
        <v>2</v>
      </c>
      <c r="B21" s="202">
        <f t="shared" ref="B21:B108" si="4">DATE($R$1,A21,1)</f>
        <v>43862</v>
      </c>
      <c r="C21" s="203">
        <v>43894</v>
      </c>
      <c r="D21" s="203">
        <v>43914</v>
      </c>
      <c r="E21" s="212" t="s">
        <v>21</v>
      </c>
      <c r="F21" s="163">
        <v>9</v>
      </c>
      <c r="G21" s="205">
        <v>2548</v>
      </c>
      <c r="H21" s="206">
        <f t="shared" ref="H21:H84" si="5">+$K$3</f>
        <v>8.6960185985294221</v>
      </c>
      <c r="I21" s="206">
        <f t="shared" si="1"/>
        <v>6.3097767616586076</v>
      </c>
      <c r="J21" s="207">
        <f t="shared" si="2"/>
        <v>16077.311188706131</v>
      </c>
      <c r="K21" s="208">
        <f t="shared" ref="K21:K33" si="6">+$G21*H21</f>
        <v>22157.455389052968</v>
      </c>
      <c r="L21" s="209">
        <f t="shared" si="3"/>
        <v>-6080.1442003468364</v>
      </c>
      <c r="M21" s="210">
        <f t="shared" ref="M21:M84" si="7">G21/$G$212*$M$14</f>
        <v>-205.01420611475052</v>
      </c>
      <c r="N21" s="211">
        <f t="shared" ref="N21:N84" si="8">SUM(L21:M21)</f>
        <v>-6285.1584064615872</v>
      </c>
      <c r="O21" s="210">
        <v>0</v>
      </c>
      <c r="P21" s="210">
        <v>0</v>
      </c>
      <c r="Q21" s="210">
        <v>0</v>
      </c>
      <c r="R21" s="211">
        <f t="shared" ref="R21:R84" si="9">+N21-Q21</f>
        <v>-6285.1584064615872</v>
      </c>
    </row>
    <row r="22" spans="1:18" x14ac:dyDescent="0.25">
      <c r="A22" s="163">
        <v>3</v>
      </c>
      <c r="B22" s="202">
        <f t="shared" si="4"/>
        <v>43891</v>
      </c>
      <c r="C22" s="203">
        <v>43924</v>
      </c>
      <c r="D22" s="203">
        <v>43945</v>
      </c>
      <c r="E22" s="212" t="s">
        <v>21</v>
      </c>
      <c r="F22" s="163">
        <v>9</v>
      </c>
      <c r="G22" s="205">
        <v>2505</v>
      </c>
      <c r="H22" s="206">
        <f t="shared" si="5"/>
        <v>8.6960185985294221</v>
      </c>
      <c r="I22" s="206">
        <f t="shared" si="1"/>
        <v>6.3097767616586076</v>
      </c>
      <c r="J22" s="207">
        <f t="shared" si="2"/>
        <v>15805.990787954812</v>
      </c>
      <c r="K22" s="208">
        <f t="shared" si="6"/>
        <v>21783.526589316203</v>
      </c>
      <c r="L22" s="209">
        <f t="shared" si="3"/>
        <v>-5977.5358013613913</v>
      </c>
      <c r="M22" s="210">
        <f t="shared" si="7"/>
        <v>-201.55439023447806</v>
      </c>
      <c r="N22" s="211">
        <f t="shared" si="8"/>
        <v>-6179.0901915958693</v>
      </c>
      <c r="O22" s="210">
        <v>0</v>
      </c>
      <c r="P22" s="210">
        <v>0</v>
      </c>
      <c r="Q22" s="210">
        <v>0</v>
      </c>
      <c r="R22" s="211">
        <f t="shared" si="9"/>
        <v>-6179.0901915958693</v>
      </c>
    </row>
    <row r="23" spans="1:18" x14ac:dyDescent="0.25">
      <c r="A23" s="125">
        <v>4</v>
      </c>
      <c r="B23" s="202">
        <f t="shared" si="4"/>
        <v>43922</v>
      </c>
      <c r="C23" s="203">
        <v>43956</v>
      </c>
      <c r="D23" s="203">
        <v>43976</v>
      </c>
      <c r="E23" s="212" t="s">
        <v>21</v>
      </c>
      <c r="F23" s="163">
        <v>9</v>
      </c>
      <c r="G23" s="205">
        <v>2636</v>
      </c>
      <c r="H23" s="206">
        <f t="shared" si="5"/>
        <v>8.6960185985294221</v>
      </c>
      <c r="I23" s="206">
        <f t="shared" si="1"/>
        <v>6.3097767616586076</v>
      </c>
      <c r="J23" s="207">
        <f t="shared" si="2"/>
        <v>16632.571543732091</v>
      </c>
      <c r="K23" s="208">
        <f t="shared" si="6"/>
        <v>22922.705025723557</v>
      </c>
      <c r="L23" s="209">
        <f t="shared" si="3"/>
        <v>-6290.1334819914664</v>
      </c>
      <c r="M23" s="210">
        <f t="shared" si="7"/>
        <v>-212.09475954414538</v>
      </c>
      <c r="N23" s="211">
        <f t="shared" si="8"/>
        <v>-6502.2282415356121</v>
      </c>
      <c r="O23" s="210">
        <v>0</v>
      </c>
      <c r="P23" s="210">
        <v>0</v>
      </c>
      <c r="Q23" s="210">
        <v>0</v>
      </c>
      <c r="R23" s="211">
        <f t="shared" si="9"/>
        <v>-6502.2282415356121</v>
      </c>
    </row>
    <row r="24" spans="1:18" ht="12" customHeight="1" x14ac:dyDescent="0.25">
      <c r="A24" s="163">
        <v>5</v>
      </c>
      <c r="B24" s="202">
        <f t="shared" si="4"/>
        <v>43952</v>
      </c>
      <c r="C24" s="203">
        <v>43985</v>
      </c>
      <c r="D24" s="203">
        <v>44006</v>
      </c>
      <c r="E24" s="54" t="s">
        <v>21</v>
      </c>
      <c r="F24" s="163">
        <v>9</v>
      </c>
      <c r="G24" s="205">
        <v>2911</v>
      </c>
      <c r="H24" s="206">
        <f t="shared" si="5"/>
        <v>8.6960185985294221</v>
      </c>
      <c r="I24" s="206">
        <f t="shared" si="1"/>
        <v>6.3097767616586076</v>
      </c>
      <c r="J24" s="207">
        <f t="shared" si="2"/>
        <v>18367.760153188206</v>
      </c>
      <c r="K24" s="208">
        <f t="shared" si="6"/>
        <v>25314.110140319146</v>
      </c>
      <c r="L24" s="209">
        <f t="shared" si="3"/>
        <v>-6946.3499871309396</v>
      </c>
      <c r="M24" s="210">
        <f t="shared" si="7"/>
        <v>-234.22148901100425</v>
      </c>
      <c r="N24" s="211">
        <f t="shared" si="8"/>
        <v>-7180.571476141944</v>
      </c>
      <c r="O24" s="210">
        <v>0</v>
      </c>
      <c r="P24" s="210">
        <v>0</v>
      </c>
      <c r="Q24" s="210">
        <v>0</v>
      </c>
      <c r="R24" s="211">
        <f t="shared" si="9"/>
        <v>-7180.571476141944</v>
      </c>
    </row>
    <row r="25" spans="1:18" x14ac:dyDescent="0.25">
      <c r="A25" s="163">
        <v>6</v>
      </c>
      <c r="B25" s="202">
        <f t="shared" si="4"/>
        <v>43983</v>
      </c>
      <c r="C25" s="203">
        <v>44015</v>
      </c>
      <c r="D25" s="203">
        <v>44036</v>
      </c>
      <c r="E25" s="54" t="s">
        <v>21</v>
      </c>
      <c r="F25" s="163">
        <v>9</v>
      </c>
      <c r="G25" s="205">
        <v>3504</v>
      </c>
      <c r="H25" s="206">
        <f t="shared" si="5"/>
        <v>8.6960185985294221</v>
      </c>
      <c r="I25" s="206">
        <f t="shared" si="1"/>
        <v>6.3097767616586076</v>
      </c>
      <c r="J25" s="207">
        <f t="shared" si="2"/>
        <v>22109.457772851762</v>
      </c>
      <c r="K25" s="208">
        <f t="shared" si="6"/>
        <v>30470.849169247096</v>
      </c>
      <c r="L25" s="213">
        <f t="shared" si="3"/>
        <v>-8361.3913963953346</v>
      </c>
      <c r="M25" s="210">
        <f t="shared" si="7"/>
        <v>-281.93476382499443</v>
      </c>
      <c r="N25" s="211">
        <f t="shared" si="8"/>
        <v>-8643.3261602203293</v>
      </c>
      <c r="O25" s="210">
        <v>0</v>
      </c>
      <c r="P25" s="210">
        <v>0</v>
      </c>
      <c r="Q25" s="210">
        <v>0</v>
      </c>
      <c r="R25" s="211">
        <f t="shared" si="9"/>
        <v>-8643.3261602203293</v>
      </c>
    </row>
    <row r="26" spans="1:18" x14ac:dyDescent="0.25">
      <c r="A26" s="125">
        <v>7</v>
      </c>
      <c r="B26" s="202">
        <f t="shared" si="4"/>
        <v>44013</v>
      </c>
      <c r="C26" s="203">
        <v>44048</v>
      </c>
      <c r="D26" s="203">
        <v>44067</v>
      </c>
      <c r="E26" s="54" t="s">
        <v>21</v>
      </c>
      <c r="F26" s="163">
        <v>9</v>
      </c>
      <c r="G26" s="205">
        <v>3724</v>
      </c>
      <c r="H26" s="206">
        <f t="shared" si="5"/>
        <v>8.6960185985294221</v>
      </c>
      <c r="I26" s="206">
        <f t="shared" si="1"/>
        <v>6.3097767616586076</v>
      </c>
      <c r="J26" s="207">
        <f t="shared" si="2"/>
        <v>23497.608660416656</v>
      </c>
      <c r="K26" s="214">
        <f t="shared" si="6"/>
        <v>32383.973260923569</v>
      </c>
      <c r="L26" s="213">
        <f t="shared" si="3"/>
        <v>-8886.3646005069131</v>
      </c>
      <c r="M26" s="210">
        <f t="shared" si="7"/>
        <v>-299.63614739848151</v>
      </c>
      <c r="N26" s="211">
        <f t="shared" si="8"/>
        <v>-9186.0007479053947</v>
      </c>
      <c r="O26" s="210">
        <v>0</v>
      </c>
      <c r="P26" s="210">
        <v>0</v>
      </c>
      <c r="Q26" s="210">
        <v>0</v>
      </c>
      <c r="R26" s="211">
        <f t="shared" si="9"/>
        <v>-9186.0007479053947</v>
      </c>
    </row>
    <row r="27" spans="1:18" x14ac:dyDescent="0.25">
      <c r="A27" s="163">
        <v>8</v>
      </c>
      <c r="B27" s="202">
        <f t="shared" si="4"/>
        <v>44044</v>
      </c>
      <c r="C27" s="203">
        <v>44077</v>
      </c>
      <c r="D27" s="203">
        <v>44098</v>
      </c>
      <c r="E27" s="54" t="s">
        <v>21</v>
      </c>
      <c r="F27" s="163">
        <v>9</v>
      </c>
      <c r="G27" s="205">
        <v>3873</v>
      </c>
      <c r="H27" s="206">
        <f t="shared" si="5"/>
        <v>8.6960185985294221</v>
      </c>
      <c r="I27" s="206">
        <f t="shared" si="1"/>
        <v>6.3097767616586076</v>
      </c>
      <c r="J27" s="207">
        <f t="shared" si="2"/>
        <v>24437.765397903786</v>
      </c>
      <c r="K27" s="214">
        <f t="shared" si="6"/>
        <v>33679.68003210445</v>
      </c>
      <c r="L27" s="213">
        <f t="shared" si="3"/>
        <v>-9241.9146342006643</v>
      </c>
      <c r="M27" s="210">
        <f t="shared" si="7"/>
        <v>-311.62481172779781</v>
      </c>
      <c r="N27" s="211">
        <f t="shared" si="8"/>
        <v>-9553.5394459284616</v>
      </c>
      <c r="O27" s="210">
        <v>0</v>
      </c>
      <c r="P27" s="210">
        <v>0</v>
      </c>
      <c r="Q27" s="210">
        <v>0</v>
      </c>
      <c r="R27" s="211">
        <f t="shared" si="9"/>
        <v>-9553.5394459284616</v>
      </c>
    </row>
    <row r="28" spans="1:18" x14ac:dyDescent="0.25">
      <c r="A28" s="163">
        <v>9</v>
      </c>
      <c r="B28" s="202">
        <f t="shared" si="4"/>
        <v>44075</v>
      </c>
      <c r="C28" s="203">
        <v>44109</v>
      </c>
      <c r="D28" s="203">
        <v>44130</v>
      </c>
      <c r="E28" s="54" t="s">
        <v>21</v>
      </c>
      <c r="F28" s="163">
        <v>9</v>
      </c>
      <c r="G28" s="205">
        <v>3349</v>
      </c>
      <c r="H28" s="206">
        <f t="shared" si="5"/>
        <v>8.6960185985294221</v>
      </c>
      <c r="I28" s="206">
        <f t="shared" si="1"/>
        <v>6.3097767616586076</v>
      </c>
      <c r="J28" s="207">
        <f t="shared" si="2"/>
        <v>21131.442374794678</v>
      </c>
      <c r="K28" s="214">
        <f t="shared" si="6"/>
        <v>29122.966286475035</v>
      </c>
      <c r="L28" s="213">
        <f t="shared" si="3"/>
        <v>-7991.5239116803568</v>
      </c>
      <c r="M28" s="210">
        <f t="shared" si="7"/>
        <v>-269.46333448912856</v>
      </c>
      <c r="N28" s="211">
        <f t="shared" si="8"/>
        <v>-8260.9872461694849</v>
      </c>
      <c r="O28" s="210">
        <v>0</v>
      </c>
      <c r="P28" s="210">
        <v>0</v>
      </c>
      <c r="Q28" s="210">
        <v>0</v>
      </c>
      <c r="R28" s="211">
        <f t="shared" si="9"/>
        <v>-8260.9872461694849</v>
      </c>
    </row>
    <row r="29" spans="1:18" x14ac:dyDescent="0.25">
      <c r="A29" s="125">
        <v>10</v>
      </c>
      <c r="B29" s="202">
        <f t="shared" si="4"/>
        <v>44105</v>
      </c>
      <c r="C29" s="203">
        <v>44139</v>
      </c>
      <c r="D29" s="203">
        <v>44159</v>
      </c>
      <c r="E29" s="54" t="s">
        <v>21</v>
      </c>
      <c r="F29" s="163">
        <v>9</v>
      </c>
      <c r="G29" s="205">
        <v>2789</v>
      </c>
      <c r="H29" s="206">
        <f t="shared" si="5"/>
        <v>8.6960185985294221</v>
      </c>
      <c r="I29" s="206">
        <f t="shared" si="1"/>
        <v>6.3097767616586076</v>
      </c>
      <c r="J29" s="207">
        <f t="shared" si="2"/>
        <v>17597.967388265857</v>
      </c>
      <c r="K29" s="214">
        <f t="shared" si="6"/>
        <v>24253.195871298558</v>
      </c>
      <c r="L29" s="213">
        <f t="shared" si="3"/>
        <v>-6655.2284830327008</v>
      </c>
      <c r="M29" s="210">
        <f t="shared" si="7"/>
        <v>-224.4052672111614</v>
      </c>
      <c r="N29" s="211">
        <f t="shared" si="8"/>
        <v>-6879.6337502438619</v>
      </c>
      <c r="O29" s="210">
        <v>0</v>
      </c>
      <c r="P29" s="210">
        <v>0</v>
      </c>
      <c r="Q29" s="210">
        <v>0</v>
      </c>
      <c r="R29" s="211">
        <f t="shared" si="9"/>
        <v>-6879.6337502438619</v>
      </c>
    </row>
    <row r="30" spans="1:18" x14ac:dyDescent="0.25">
      <c r="A30" s="163">
        <v>11</v>
      </c>
      <c r="B30" s="202">
        <f t="shared" si="4"/>
        <v>44136</v>
      </c>
      <c r="C30" s="203">
        <v>44168</v>
      </c>
      <c r="D30" s="203">
        <v>44189</v>
      </c>
      <c r="E30" s="54" t="s">
        <v>21</v>
      </c>
      <c r="F30" s="163">
        <v>9</v>
      </c>
      <c r="G30" s="205">
        <v>2382</v>
      </c>
      <c r="H30" s="206">
        <f t="shared" si="5"/>
        <v>8.6960185985294221</v>
      </c>
      <c r="I30" s="206">
        <f t="shared" si="1"/>
        <v>6.3097767616586076</v>
      </c>
      <c r="J30" s="207">
        <f t="shared" si="2"/>
        <v>15029.888246270802</v>
      </c>
      <c r="K30" s="214">
        <f t="shared" si="6"/>
        <v>20713.916301697082</v>
      </c>
      <c r="L30" s="213">
        <f t="shared" si="3"/>
        <v>-5684.028055426279</v>
      </c>
      <c r="M30" s="210">
        <f t="shared" si="7"/>
        <v>-191.65770760021027</v>
      </c>
      <c r="N30" s="211">
        <f t="shared" si="8"/>
        <v>-5875.6857630264894</v>
      </c>
      <c r="O30" s="210">
        <v>0</v>
      </c>
      <c r="P30" s="210">
        <v>0</v>
      </c>
      <c r="Q30" s="210">
        <v>0</v>
      </c>
      <c r="R30" s="211">
        <f t="shared" si="9"/>
        <v>-5875.6857630264894</v>
      </c>
    </row>
    <row r="31" spans="1:18" x14ac:dyDescent="0.25">
      <c r="A31" s="163">
        <v>12</v>
      </c>
      <c r="B31" s="202">
        <f t="shared" si="4"/>
        <v>44166</v>
      </c>
      <c r="C31" s="215">
        <v>44202</v>
      </c>
      <c r="D31" s="216">
        <v>44221</v>
      </c>
      <c r="E31" s="54" t="s">
        <v>21</v>
      </c>
      <c r="F31" s="163">
        <v>9</v>
      </c>
      <c r="G31" s="217">
        <v>2513</v>
      </c>
      <c r="H31" s="218">
        <f t="shared" si="5"/>
        <v>8.6960185985294221</v>
      </c>
      <c r="I31" s="218">
        <f t="shared" si="1"/>
        <v>6.3097767616586076</v>
      </c>
      <c r="J31" s="219">
        <f t="shared" si="2"/>
        <v>15856.469002048081</v>
      </c>
      <c r="K31" s="220">
        <f t="shared" si="6"/>
        <v>21853.094738104439</v>
      </c>
      <c r="L31" s="221">
        <f t="shared" si="3"/>
        <v>-5996.6257360563577</v>
      </c>
      <c r="M31" s="210">
        <f t="shared" si="7"/>
        <v>-202.19807690987759</v>
      </c>
      <c r="N31" s="211">
        <f t="shared" si="8"/>
        <v>-6198.823812966235</v>
      </c>
      <c r="O31" s="210">
        <v>0</v>
      </c>
      <c r="P31" s="210">
        <v>0</v>
      </c>
      <c r="Q31" s="210">
        <v>0</v>
      </c>
      <c r="R31" s="211">
        <f t="shared" si="9"/>
        <v>-6198.823812966235</v>
      </c>
    </row>
    <row r="32" spans="1:18" x14ac:dyDescent="0.25">
      <c r="A32" s="125">
        <v>1</v>
      </c>
      <c r="B32" s="222">
        <f t="shared" si="4"/>
        <v>43831</v>
      </c>
      <c r="C32" s="223">
        <f t="shared" ref="C32:D43" si="10">+C20</f>
        <v>43866</v>
      </c>
      <c r="D32" s="223">
        <f t="shared" si="10"/>
        <v>43885</v>
      </c>
      <c r="E32" s="224" t="s">
        <v>22</v>
      </c>
      <c r="F32" s="225">
        <v>9</v>
      </c>
      <c r="G32" s="205">
        <v>2664</v>
      </c>
      <c r="H32" s="206">
        <f t="shared" si="5"/>
        <v>8.6960185985294221</v>
      </c>
      <c r="I32" s="206">
        <f t="shared" si="1"/>
        <v>6.3097767616586076</v>
      </c>
      <c r="J32" s="207">
        <f t="shared" si="2"/>
        <v>16809.245293058531</v>
      </c>
      <c r="K32" s="208">
        <f t="shared" si="6"/>
        <v>23166.19354648238</v>
      </c>
      <c r="L32" s="209">
        <f t="shared" si="3"/>
        <v>-6356.9482534238487</v>
      </c>
      <c r="M32" s="210">
        <f t="shared" si="7"/>
        <v>-214.34766290804373</v>
      </c>
      <c r="N32" s="211">
        <f t="shared" si="8"/>
        <v>-6571.2959163318919</v>
      </c>
      <c r="O32" s="210">
        <v>0</v>
      </c>
      <c r="P32" s="210">
        <v>0</v>
      </c>
      <c r="Q32" s="210">
        <v>0</v>
      </c>
      <c r="R32" s="211">
        <f t="shared" si="9"/>
        <v>-6571.2959163318919</v>
      </c>
    </row>
    <row r="33" spans="1:18" x14ac:dyDescent="0.25">
      <c r="A33" s="163">
        <v>2</v>
      </c>
      <c r="B33" s="202">
        <f t="shared" si="4"/>
        <v>43862</v>
      </c>
      <c r="C33" s="226">
        <f t="shared" si="10"/>
        <v>43894</v>
      </c>
      <c r="D33" s="226">
        <f t="shared" si="10"/>
        <v>43914</v>
      </c>
      <c r="E33" s="212" t="s">
        <v>22</v>
      </c>
      <c r="F33" s="163">
        <v>9</v>
      </c>
      <c r="G33" s="205">
        <v>2798</v>
      </c>
      <c r="H33" s="206">
        <f t="shared" si="5"/>
        <v>8.6960185985294221</v>
      </c>
      <c r="I33" s="206">
        <f t="shared" si="1"/>
        <v>6.3097767616586076</v>
      </c>
      <c r="J33" s="207">
        <f t="shared" si="2"/>
        <v>17654.755379120783</v>
      </c>
      <c r="K33" s="208">
        <f t="shared" si="6"/>
        <v>24331.460038685324</v>
      </c>
      <c r="L33" s="209">
        <f t="shared" si="3"/>
        <v>-6676.7046595645406</v>
      </c>
      <c r="M33" s="210">
        <f t="shared" si="7"/>
        <v>-225.12941472098586</v>
      </c>
      <c r="N33" s="211">
        <f t="shared" si="8"/>
        <v>-6901.8340742855262</v>
      </c>
      <c r="O33" s="210">
        <v>0</v>
      </c>
      <c r="P33" s="210">
        <v>0</v>
      </c>
      <c r="Q33" s="210">
        <v>0</v>
      </c>
      <c r="R33" s="211">
        <f t="shared" si="9"/>
        <v>-6901.8340742855262</v>
      </c>
    </row>
    <row r="34" spans="1:18" x14ac:dyDescent="0.25">
      <c r="A34" s="163">
        <v>3</v>
      </c>
      <c r="B34" s="202">
        <f t="shared" si="4"/>
        <v>43891</v>
      </c>
      <c r="C34" s="226">
        <f t="shared" si="10"/>
        <v>43924</v>
      </c>
      <c r="D34" s="226">
        <f t="shared" si="10"/>
        <v>43945</v>
      </c>
      <c r="E34" s="212" t="s">
        <v>22</v>
      </c>
      <c r="F34" s="163">
        <v>9</v>
      </c>
      <c r="G34" s="205">
        <v>2422</v>
      </c>
      <c r="H34" s="206">
        <f t="shared" si="5"/>
        <v>8.6960185985294221</v>
      </c>
      <c r="I34" s="206">
        <f t="shared" si="1"/>
        <v>6.3097767616586076</v>
      </c>
      <c r="J34" s="207">
        <f t="shared" si="2"/>
        <v>15282.279316737147</v>
      </c>
      <c r="K34" s="208">
        <f t="shared" ref="K34:K93" si="11">+$G34*H34</f>
        <v>21061.75704563826</v>
      </c>
      <c r="L34" s="209">
        <f t="shared" si="3"/>
        <v>-5779.4777289011126</v>
      </c>
      <c r="M34" s="210">
        <f t="shared" si="7"/>
        <v>-194.87614097720791</v>
      </c>
      <c r="N34" s="211">
        <f t="shared" si="8"/>
        <v>-5974.3538698783204</v>
      </c>
      <c r="O34" s="210">
        <v>0</v>
      </c>
      <c r="P34" s="210">
        <v>0</v>
      </c>
      <c r="Q34" s="210">
        <v>0</v>
      </c>
      <c r="R34" s="211">
        <f t="shared" si="9"/>
        <v>-5974.3538698783204</v>
      </c>
    </row>
    <row r="35" spans="1:18" x14ac:dyDescent="0.25">
      <c r="A35" s="125">
        <v>4</v>
      </c>
      <c r="B35" s="202">
        <f t="shared" si="4"/>
        <v>43922</v>
      </c>
      <c r="C35" s="226">
        <f t="shared" si="10"/>
        <v>43956</v>
      </c>
      <c r="D35" s="226">
        <f t="shared" si="10"/>
        <v>43976</v>
      </c>
      <c r="E35" s="212" t="s">
        <v>22</v>
      </c>
      <c r="F35" s="163">
        <v>9</v>
      </c>
      <c r="G35" s="205">
        <v>2569</v>
      </c>
      <c r="H35" s="206">
        <f t="shared" si="5"/>
        <v>8.6960185985294221</v>
      </c>
      <c r="I35" s="206">
        <f t="shared" si="1"/>
        <v>6.3097767616586076</v>
      </c>
      <c r="J35" s="207">
        <f t="shared" si="2"/>
        <v>16209.816500700963</v>
      </c>
      <c r="K35" s="208">
        <f t="shared" si="11"/>
        <v>22340.071779622085</v>
      </c>
      <c r="L35" s="209">
        <f t="shared" ref="L35:L57" si="12">+J35-K35</f>
        <v>-6130.2552789211222</v>
      </c>
      <c r="M35" s="210">
        <f t="shared" si="7"/>
        <v>-206.70388363767429</v>
      </c>
      <c r="N35" s="211">
        <f t="shared" si="8"/>
        <v>-6336.9591625587964</v>
      </c>
      <c r="O35" s="210">
        <v>0</v>
      </c>
      <c r="P35" s="210">
        <v>0</v>
      </c>
      <c r="Q35" s="210">
        <v>0</v>
      </c>
      <c r="R35" s="211">
        <f t="shared" si="9"/>
        <v>-6336.9591625587964</v>
      </c>
    </row>
    <row r="36" spans="1:18" x14ac:dyDescent="0.25">
      <c r="A36" s="163">
        <v>5</v>
      </c>
      <c r="B36" s="202">
        <f t="shared" si="4"/>
        <v>43952</v>
      </c>
      <c r="C36" s="226">
        <f t="shared" si="10"/>
        <v>43985</v>
      </c>
      <c r="D36" s="226">
        <f t="shared" si="10"/>
        <v>44006</v>
      </c>
      <c r="E36" s="54" t="s">
        <v>22</v>
      </c>
      <c r="F36" s="163">
        <v>9</v>
      </c>
      <c r="G36" s="205">
        <v>2598</v>
      </c>
      <c r="H36" s="206">
        <f t="shared" si="5"/>
        <v>8.6960185985294221</v>
      </c>
      <c r="I36" s="206">
        <f t="shared" si="1"/>
        <v>6.3097767616586076</v>
      </c>
      <c r="J36" s="207">
        <f t="shared" si="2"/>
        <v>16392.800026789064</v>
      </c>
      <c r="K36" s="208">
        <f t="shared" si="11"/>
        <v>22592.256318979438</v>
      </c>
      <c r="L36" s="209">
        <f t="shared" si="12"/>
        <v>-6199.4562921903744</v>
      </c>
      <c r="M36" s="210">
        <f t="shared" si="7"/>
        <v>-209.03724783599759</v>
      </c>
      <c r="N36" s="211">
        <f t="shared" si="8"/>
        <v>-6408.4935400263721</v>
      </c>
      <c r="O36" s="210">
        <v>0</v>
      </c>
      <c r="P36" s="210">
        <v>0</v>
      </c>
      <c r="Q36" s="210">
        <v>0</v>
      </c>
      <c r="R36" s="211">
        <f t="shared" si="9"/>
        <v>-6408.4935400263721</v>
      </c>
    </row>
    <row r="37" spans="1:18" x14ac:dyDescent="0.25">
      <c r="A37" s="163">
        <v>6</v>
      </c>
      <c r="B37" s="202">
        <f t="shared" si="4"/>
        <v>43983</v>
      </c>
      <c r="C37" s="226">
        <f t="shared" si="10"/>
        <v>44015</v>
      </c>
      <c r="D37" s="226">
        <f t="shared" si="10"/>
        <v>44036</v>
      </c>
      <c r="E37" s="54" t="s">
        <v>22</v>
      </c>
      <c r="F37" s="163">
        <v>9</v>
      </c>
      <c r="G37" s="205">
        <v>3167</v>
      </c>
      <c r="H37" s="206">
        <f t="shared" si="5"/>
        <v>8.6960185985294221</v>
      </c>
      <c r="I37" s="206">
        <f t="shared" si="1"/>
        <v>6.3097767616586076</v>
      </c>
      <c r="J37" s="207">
        <f t="shared" si="2"/>
        <v>19983.063004172811</v>
      </c>
      <c r="K37" s="208">
        <f t="shared" si="11"/>
        <v>27540.290901542681</v>
      </c>
      <c r="L37" s="213">
        <f t="shared" si="12"/>
        <v>-7557.2278973698703</v>
      </c>
      <c r="M37" s="210">
        <f t="shared" si="7"/>
        <v>-254.81946262378924</v>
      </c>
      <c r="N37" s="211">
        <f t="shared" si="8"/>
        <v>-7812.0473599936595</v>
      </c>
      <c r="O37" s="210">
        <v>0</v>
      </c>
      <c r="P37" s="210">
        <v>0</v>
      </c>
      <c r="Q37" s="210">
        <v>0</v>
      </c>
      <c r="R37" s="211">
        <f t="shared" si="9"/>
        <v>-7812.0473599936595</v>
      </c>
    </row>
    <row r="38" spans="1:18" x14ac:dyDescent="0.25">
      <c r="A38" s="125">
        <v>7</v>
      </c>
      <c r="B38" s="202">
        <f t="shared" si="4"/>
        <v>44013</v>
      </c>
      <c r="C38" s="226">
        <f t="shared" si="10"/>
        <v>44048</v>
      </c>
      <c r="D38" s="226">
        <f t="shared" si="10"/>
        <v>44067</v>
      </c>
      <c r="E38" s="54" t="s">
        <v>22</v>
      </c>
      <c r="F38" s="163">
        <v>9</v>
      </c>
      <c r="G38" s="205">
        <v>3376</v>
      </c>
      <c r="H38" s="206">
        <f t="shared" si="5"/>
        <v>8.6960185985294221</v>
      </c>
      <c r="I38" s="206">
        <f t="shared" si="1"/>
        <v>6.3097767616586076</v>
      </c>
      <c r="J38" s="207">
        <f t="shared" si="2"/>
        <v>21301.806347359459</v>
      </c>
      <c r="K38" s="214">
        <f t="shared" si="11"/>
        <v>29357.758788635329</v>
      </c>
      <c r="L38" s="213">
        <f t="shared" si="12"/>
        <v>-8055.9524412758692</v>
      </c>
      <c r="M38" s="210">
        <f t="shared" si="7"/>
        <v>-271.63577701860197</v>
      </c>
      <c r="N38" s="211">
        <f t="shared" si="8"/>
        <v>-8327.5882182944715</v>
      </c>
      <c r="O38" s="210">
        <v>0</v>
      </c>
      <c r="P38" s="210">
        <v>0</v>
      </c>
      <c r="Q38" s="210">
        <v>0</v>
      </c>
      <c r="R38" s="211">
        <f t="shared" si="9"/>
        <v>-8327.5882182944715</v>
      </c>
    </row>
    <row r="39" spans="1:18" x14ac:dyDescent="0.25">
      <c r="A39" s="163">
        <v>8</v>
      </c>
      <c r="B39" s="202">
        <f t="shared" si="4"/>
        <v>44044</v>
      </c>
      <c r="C39" s="226">
        <f t="shared" si="10"/>
        <v>44077</v>
      </c>
      <c r="D39" s="226">
        <f t="shared" si="10"/>
        <v>44098</v>
      </c>
      <c r="E39" s="54" t="s">
        <v>22</v>
      </c>
      <c r="F39" s="163">
        <v>9</v>
      </c>
      <c r="G39" s="205">
        <v>3459</v>
      </c>
      <c r="H39" s="206">
        <f t="shared" si="5"/>
        <v>8.6960185985294221</v>
      </c>
      <c r="I39" s="206">
        <f t="shared" si="1"/>
        <v>6.3097767616586076</v>
      </c>
      <c r="J39" s="207">
        <f t="shared" si="2"/>
        <v>21825.517818577122</v>
      </c>
      <c r="K39" s="214">
        <f t="shared" si="11"/>
        <v>30079.528332313272</v>
      </c>
      <c r="L39" s="213">
        <f t="shared" si="12"/>
        <v>-8254.0105137361497</v>
      </c>
      <c r="M39" s="210">
        <f t="shared" si="7"/>
        <v>-278.3140262758721</v>
      </c>
      <c r="N39" s="211">
        <f t="shared" si="8"/>
        <v>-8532.3245400120213</v>
      </c>
      <c r="O39" s="210">
        <v>0</v>
      </c>
      <c r="P39" s="210">
        <v>0</v>
      </c>
      <c r="Q39" s="210">
        <v>0</v>
      </c>
      <c r="R39" s="211">
        <f t="shared" si="9"/>
        <v>-8532.3245400120213</v>
      </c>
    </row>
    <row r="40" spans="1:18" x14ac:dyDescent="0.25">
      <c r="A40" s="163">
        <v>9</v>
      </c>
      <c r="B40" s="202">
        <f t="shared" si="4"/>
        <v>44075</v>
      </c>
      <c r="C40" s="226">
        <f t="shared" si="10"/>
        <v>44109</v>
      </c>
      <c r="D40" s="226">
        <f t="shared" si="10"/>
        <v>44130</v>
      </c>
      <c r="E40" s="54" t="s">
        <v>22</v>
      </c>
      <c r="F40" s="163">
        <v>9</v>
      </c>
      <c r="G40" s="205">
        <v>3173</v>
      </c>
      <c r="H40" s="206">
        <f t="shared" si="5"/>
        <v>8.6960185985294221</v>
      </c>
      <c r="I40" s="206">
        <f t="shared" si="1"/>
        <v>6.3097767616586076</v>
      </c>
      <c r="J40" s="207">
        <f t="shared" si="2"/>
        <v>20020.92166474276</v>
      </c>
      <c r="K40" s="214">
        <f t="shared" si="11"/>
        <v>27592.467013133857</v>
      </c>
      <c r="L40" s="213">
        <f t="shared" si="12"/>
        <v>-7571.5453483910969</v>
      </c>
      <c r="M40" s="210">
        <f t="shared" si="7"/>
        <v>-255.30222763033888</v>
      </c>
      <c r="N40" s="211">
        <f t="shared" si="8"/>
        <v>-7826.847576021436</v>
      </c>
      <c r="O40" s="210">
        <v>0</v>
      </c>
      <c r="P40" s="210">
        <v>0</v>
      </c>
      <c r="Q40" s="210">
        <v>0</v>
      </c>
      <c r="R40" s="211">
        <f t="shared" si="9"/>
        <v>-7826.847576021436</v>
      </c>
    </row>
    <row r="41" spans="1:18" x14ac:dyDescent="0.25">
      <c r="A41" s="125">
        <v>10</v>
      </c>
      <c r="B41" s="202">
        <f t="shared" si="4"/>
        <v>44105</v>
      </c>
      <c r="C41" s="226">
        <f t="shared" si="10"/>
        <v>44139</v>
      </c>
      <c r="D41" s="226">
        <f t="shared" si="10"/>
        <v>44159</v>
      </c>
      <c r="E41" s="54" t="s">
        <v>22</v>
      </c>
      <c r="F41" s="163">
        <v>9</v>
      </c>
      <c r="G41" s="205">
        <v>2561</v>
      </c>
      <c r="H41" s="206">
        <f t="shared" si="5"/>
        <v>8.6960185985294221</v>
      </c>
      <c r="I41" s="206">
        <f t="shared" si="1"/>
        <v>6.3097767616586076</v>
      </c>
      <c r="J41" s="207">
        <f t="shared" si="2"/>
        <v>16159.338286607694</v>
      </c>
      <c r="K41" s="214">
        <f t="shared" si="11"/>
        <v>22270.503630833849</v>
      </c>
      <c r="L41" s="213">
        <f t="shared" si="12"/>
        <v>-6111.1653442261559</v>
      </c>
      <c r="M41" s="210">
        <f t="shared" si="7"/>
        <v>-206.06019696227477</v>
      </c>
      <c r="N41" s="211">
        <f t="shared" si="8"/>
        <v>-6317.2255411884307</v>
      </c>
      <c r="O41" s="210">
        <v>0</v>
      </c>
      <c r="P41" s="210">
        <v>0</v>
      </c>
      <c r="Q41" s="210">
        <v>0</v>
      </c>
      <c r="R41" s="211">
        <f t="shared" si="9"/>
        <v>-6317.2255411884307</v>
      </c>
    </row>
    <row r="42" spans="1:18" x14ac:dyDescent="0.25">
      <c r="A42" s="163">
        <v>11</v>
      </c>
      <c r="B42" s="202">
        <f t="shared" si="4"/>
        <v>44136</v>
      </c>
      <c r="C42" s="226">
        <f t="shared" si="10"/>
        <v>44168</v>
      </c>
      <c r="D42" s="226">
        <f t="shared" si="10"/>
        <v>44189</v>
      </c>
      <c r="E42" s="54" t="s">
        <v>22</v>
      </c>
      <c r="F42" s="163">
        <v>9</v>
      </c>
      <c r="G42" s="205">
        <v>2357</v>
      </c>
      <c r="H42" s="206">
        <f t="shared" si="5"/>
        <v>8.6960185985294221</v>
      </c>
      <c r="I42" s="206">
        <f t="shared" si="1"/>
        <v>6.3097767616586076</v>
      </c>
      <c r="J42" s="207">
        <f t="shared" si="2"/>
        <v>14872.143827229338</v>
      </c>
      <c r="K42" s="214">
        <f t="shared" si="11"/>
        <v>20496.515836733848</v>
      </c>
      <c r="L42" s="213">
        <f t="shared" si="12"/>
        <v>-5624.3720095045101</v>
      </c>
      <c r="M42" s="210">
        <f t="shared" si="7"/>
        <v>-189.64618673958674</v>
      </c>
      <c r="N42" s="211">
        <f t="shared" si="8"/>
        <v>-5814.0181962440965</v>
      </c>
      <c r="O42" s="210">
        <v>0</v>
      </c>
      <c r="P42" s="210">
        <v>0</v>
      </c>
      <c r="Q42" s="210">
        <v>0</v>
      </c>
      <c r="R42" s="211">
        <f t="shared" si="9"/>
        <v>-5814.0181962440965</v>
      </c>
    </row>
    <row r="43" spans="1:18" x14ac:dyDescent="0.25">
      <c r="A43" s="163">
        <v>12</v>
      </c>
      <c r="B43" s="202">
        <f t="shared" si="4"/>
        <v>44166</v>
      </c>
      <c r="C43" s="226">
        <f t="shared" si="10"/>
        <v>44202</v>
      </c>
      <c r="D43" s="226">
        <f t="shared" si="10"/>
        <v>44221</v>
      </c>
      <c r="E43" s="54" t="s">
        <v>22</v>
      </c>
      <c r="F43" s="163">
        <v>9</v>
      </c>
      <c r="G43" s="217">
        <v>2731</v>
      </c>
      <c r="H43" s="218">
        <f t="shared" si="5"/>
        <v>8.6960185985294221</v>
      </c>
      <c r="I43" s="218">
        <f t="shared" si="1"/>
        <v>6.3097767616586076</v>
      </c>
      <c r="J43" s="219">
        <f t="shared" si="2"/>
        <v>17232.000336089659</v>
      </c>
      <c r="K43" s="220">
        <f t="shared" si="11"/>
        <v>23748.826792583852</v>
      </c>
      <c r="L43" s="221">
        <f t="shared" si="12"/>
        <v>-6516.8264564941928</v>
      </c>
      <c r="M43" s="210">
        <f t="shared" si="7"/>
        <v>-219.73853881451478</v>
      </c>
      <c r="N43" s="211">
        <f t="shared" si="8"/>
        <v>-6736.5649953087077</v>
      </c>
      <c r="O43" s="210">
        <v>0</v>
      </c>
      <c r="P43" s="210">
        <v>0</v>
      </c>
      <c r="Q43" s="210">
        <v>0</v>
      </c>
      <c r="R43" s="211">
        <f t="shared" si="9"/>
        <v>-6736.5649953087077</v>
      </c>
    </row>
    <row r="44" spans="1:18" x14ac:dyDescent="0.25">
      <c r="A44" s="125">
        <v>1</v>
      </c>
      <c r="B44" s="222">
        <f t="shared" ref="B44:B55" si="13">DATE($R$1,A44,1)</f>
        <v>43831</v>
      </c>
      <c r="C44" s="223">
        <f t="shared" ref="C44:D55" si="14">+C32</f>
        <v>43866</v>
      </c>
      <c r="D44" s="223">
        <f t="shared" si="14"/>
        <v>43885</v>
      </c>
      <c r="E44" s="224" t="s">
        <v>80</v>
      </c>
      <c r="F44" s="225">
        <v>9</v>
      </c>
      <c r="G44" s="205">
        <v>145</v>
      </c>
      <c r="H44" s="206">
        <f t="shared" si="5"/>
        <v>8.6960185985294221</v>
      </c>
      <c r="I44" s="206">
        <f t="shared" si="1"/>
        <v>6.3097767616586076</v>
      </c>
      <c r="J44" s="210">
        <f t="shared" ref="J44:J55" si="15">+$G44*I44</f>
        <v>914.9176304404981</v>
      </c>
      <c r="K44" s="214">
        <f t="shared" ref="K44:K55" si="16">+$G44*H44</f>
        <v>1260.9226967867662</v>
      </c>
      <c r="L44" s="213">
        <f t="shared" ref="L44:L55" si="17">+J44-K44</f>
        <v>-346.00506634626811</v>
      </c>
      <c r="M44" s="210">
        <f t="shared" si="7"/>
        <v>-11.666820991616493</v>
      </c>
      <c r="N44" s="211">
        <f t="shared" si="8"/>
        <v>-357.67188733788458</v>
      </c>
      <c r="O44" s="210">
        <v>0</v>
      </c>
      <c r="P44" s="210">
        <v>0</v>
      </c>
      <c r="Q44" s="210">
        <v>0</v>
      </c>
      <c r="R44" s="211">
        <f t="shared" si="9"/>
        <v>-357.67188733788458</v>
      </c>
    </row>
    <row r="45" spans="1:18" x14ac:dyDescent="0.25">
      <c r="A45" s="163">
        <v>2</v>
      </c>
      <c r="B45" s="202">
        <f t="shared" si="13"/>
        <v>43862</v>
      </c>
      <c r="C45" s="226">
        <f t="shared" si="14"/>
        <v>43894</v>
      </c>
      <c r="D45" s="226">
        <f t="shared" si="14"/>
        <v>43914</v>
      </c>
      <c r="E45" s="212" t="s">
        <v>80</v>
      </c>
      <c r="F45" s="163">
        <v>9</v>
      </c>
      <c r="G45" s="205">
        <v>146</v>
      </c>
      <c r="H45" s="206">
        <f t="shared" si="5"/>
        <v>8.6960185985294221</v>
      </c>
      <c r="I45" s="206">
        <f t="shared" si="1"/>
        <v>6.3097767616586076</v>
      </c>
      <c r="J45" s="210">
        <f t="shared" si="15"/>
        <v>921.22740720215666</v>
      </c>
      <c r="K45" s="214">
        <f t="shared" si="16"/>
        <v>1269.6187153852957</v>
      </c>
      <c r="L45" s="213">
        <f t="shared" si="17"/>
        <v>-348.39130818313902</v>
      </c>
      <c r="M45" s="210">
        <f t="shared" si="7"/>
        <v>-11.747281826041435</v>
      </c>
      <c r="N45" s="211">
        <f t="shared" si="8"/>
        <v>-360.13859000918046</v>
      </c>
      <c r="O45" s="210">
        <v>0</v>
      </c>
      <c r="P45" s="210">
        <v>0</v>
      </c>
      <c r="Q45" s="210">
        <v>0</v>
      </c>
      <c r="R45" s="211">
        <f t="shared" si="9"/>
        <v>-360.13859000918046</v>
      </c>
    </row>
    <row r="46" spans="1:18" x14ac:dyDescent="0.25">
      <c r="A46" s="163">
        <v>3</v>
      </c>
      <c r="B46" s="202">
        <f t="shared" si="13"/>
        <v>43891</v>
      </c>
      <c r="C46" s="226">
        <f t="shared" si="14"/>
        <v>43924</v>
      </c>
      <c r="D46" s="226">
        <f t="shared" si="14"/>
        <v>43945</v>
      </c>
      <c r="E46" s="212" t="s">
        <v>80</v>
      </c>
      <c r="F46" s="163">
        <v>9</v>
      </c>
      <c r="G46" s="205">
        <v>97</v>
      </c>
      <c r="H46" s="206">
        <f t="shared" si="5"/>
        <v>8.6960185985294221</v>
      </c>
      <c r="I46" s="206">
        <f t="shared" si="1"/>
        <v>6.3097767616586076</v>
      </c>
      <c r="J46" s="210">
        <f t="shared" si="15"/>
        <v>612.04834588088488</v>
      </c>
      <c r="K46" s="214">
        <f t="shared" si="16"/>
        <v>843.51380405735392</v>
      </c>
      <c r="L46" s="213">
        <f t="shared" si="17"/>
        <v>-231.46545817646904</v>
      </c>
      <c r="M46" s="210">
        <f t="shared" si="7"/>
        <v>-7.804700939219309</v>
      </c>
      <c r="N46" s="211">
        <f t="shared" si="8"/>
        <v>-239.27015911568836</v>
      </c>
      <c r="O46" s="210">
        <v>0</v>
      </c>
      <c r="P46" s="210">
        <v>0</v>
      </c>
      <c r="Q46" s="210">
        <v>0</v>
      </c>
      <c r="R46" s="211">
        <f t="shared" si="9"/>
        <v>-239.27015911568836</v>
      </c>
    </row>
    <row r="47" spans="1:18" x14ac:dyDescent="0.25">
      <c r="A47" s="125">
        <v>4</v>
      </c>
      <c r="B47" s="202">
        <f t="shared" si="13"/>
        <v>43922</v>
      </c>
      <c r="C47" s="226">
        <f t="shared" si="14"/>
        <v>43956</v>
      </c>
      <c r="D47" s="226">
        <f t="shared" si="14"/>
        <v>43976</v>
      </c>
      <c r="E47" s="212" t="s">
        <v>80</v>
      </c>
      <c r="F47" s="163">
        <v>9</v>
      </c>
      <c r="G47" s="205">
        <v>94</v>
      </c>
      <c r="H47" s="206">
        <f t="shared" si="5"/>
        <v>8.6960185985294221</v>
      </c>
      <c r="I47" s="206">
        <f t="shared" si="1"/>
        <v>6.3097767616586076</v>
      </c>
      <c r="J47" s="210">
        <f t="shared" si="15"/>
        <v>593.1190155959091</v>
      </c>
      <c r="K47" s="214">
        <f t="shared" si="16"/>
        <v>817.42574826176565</v>
      </c>
      <c r="L47" s="213">
        <f t="shared" si="17"/>
        <v>-224.30673266585654</v>
      </c>
      <c r="M47" s="210">
        <f t="shared" si="7"/>
        <v>-7.5633184359444865</v>
      </c>
      <c r="N47" s="211">
        <f t="shared" si="8"/>
        <v>-231.87005110180104</v>
      </c>
      <c r="O47" s="210">
        <v>0</v>
      </c>
      <c r="P47" s="210">
        <v>0</v>
      </c>
      <c r="Q47" s="210">
        <v>0</v>
      </c>
      <c r="R47" s="211">
        <f t="shared" si="9"/>
        <v>-231.87005110180104</v>
      </c>
    </row>
    <row r="48" spans="1:18" x14ac:dyDescent="0.25">
      <c r="A48" s="163">
        <v>5</v>
      </c>
      <c r="B48" s="202">
        <f t="shared" si="13"/>
        <v>43952</v>
      </c>
      <c r="C48" s="226">
        <f t="shared" si="14"/>
        <v>43985</v>
      </c>
      <c r="D48" s="226">
        <f t="shared" si="14"/>
        <v>44006</v>
      </c>
      <c r="E48" s="212" t="s">
        <v>80</v>
      </c>
      <c r="F48" s="163">
        <v>9</v>
      </c>
      <c r="G48" s="205">
        <v>106</v>
      </c>
      <c r="H48" s="206">
        <f t="shared" si="5"/>
        <v>8.6960185985294221</v>
      </c>
      <c r="I48" s="206">
        <f t="shared" si="1"/>
        <v>6.3097767616586076</v>
      </c>
      <c r="J48" s="210">
        <f t="shared" si="15"/>
        <v>668.83633673581244</v>
      </c>
      <c r="K48" s="214">
        <f t="shared" si="16"/>
        <v>921.77797144411875</v>
      </c>
      <c r="L48" s="213">
        <f t="shared" si="17"/>
        <v>-252.94163470830631</v>
      </c>
      <c r="M48" s="210">
        <f t="shared" si="7"/>
        <v>-8.5288484490437817</v>
      </c>
      <c r="N48" s="211">
        <f t="shared" si="8"/>
        <v>-261.47048315735009</v>
      </c>
      <c r="O48" s="210">
        <v>0</v>
      </c>
      <c r="P48" s="210">
        <v>0</v>
      </c>
      <c r="Q48" s="210">
        <v>0</v>
      </c>
      <c r="R48" s="211">
        <f t="shared" si="9"/>
        <v>-261.47048315735009</v>
      </c>
    </row>
    <row r="49" spans="1:18" x14ac:dyDescent="0.25">
      <c r="A49" s="163">
        <v>6</v>
      </c>
      <c r="B49" s="202">
        <f t="shared" si="13"/>
        <v>43983</v>
      </c>
      <c r="C49" s="226">
        <f t="shared" si="14"/>
        <v>44015</v>
      </c>
      <c r="D49" s="226">
        <f t="shared" si="14"/>
        <v>44036</v>
      </c>
      <c r="E49" s="212" t="s">
        <v>80</v>
      </c>
      <c r="F49" s="163">
        <v>9</v>
      </c>
      <c r="G49" s="205">
        <v>132</v>
      </c>
      <c r="H49" s="206">
        <f t="shared" si="5"/>
        <v>8.6960185985294221</v>
      </c>
      <c r="I49" s="206">
        <f t="shared" si="1"/>
        <v>6.3097767616586076</v>
      </c>
      <c r="J49" s="210">
        <f t="shared" si="15"/>
        <v>832.89053253893621</v>
      </c>
      <c r="K49" s="214">
        <f t="shared" si="16"/>
        <v>1147.8744550058836</v>
      </c>
      <c r="L49" s="213">
        <f t="shared" si="17"/>
        <v>-314.98392246694743</v>
      </c>
      <c r="M49" s="210">
        <f t="shared" si="7"/>
        <v>-10.620830144092256</v>
      </c>
      <c r="N49" s="211">
        <f t="shared" si="8"/>
        <v>-325.60475261103971</v>
      </c>
      <c r="O49" s="210">
        <v>0</v>
      </c>
      <c r="P49" s="210">
        <v>0</v>
      </c>
      <c r="Q49" s="210">
        <v>0</v>
      </c>
      <c r="R49" s="211">
        <f t="shared" si="9"/>
        <v>-325.60475261103971</v>
      </c>
    </row>
    <row r="50" spans="1:18" x14ac:dyDescent="0.25">
      <c r="A50" s="125">
        <v>7</v>
      </c>
      <c r="B50" s="202">
        <f t="shared" si="13"/>
        <v>44013</v>
      </c>
      <c r="C50" s="226">
        <f t="shared" si="14"/>
        <v>44048</v>
      </c>
      <c r="D50" s="226">
        <f t="shared" si="14"/>
        <v>44067</v>
      </c>
      <c r="E50" s="212" t="s">
        <v>80</v>
      </c>
      <c r="F50" s="163">
        <v>9</v>
      </c>
      <c r="G50" s="205">
        <v>139</v>
      </c>
      <c r="H50" s="206">
        <f t="shared" si="5"/>
        <v>8.6960185985294221</v>
      </c>
      <c r="I50" s="206">
        <f t="shared" si="1"/>
        <v>6.3097767616586076</v>
      </c>
      <c r="J50" s="210">
        <f t="shared" si="15"/>
        <v>877.05896987054643</v>
      </c>
      <c r="K50" s="214">
        <f t="shared" si="16"/>
        <v>1208.7465851955897</v>
      </c>
      <c r="L50" s="213">
        <f t="shared" si="17"/>
        <v>-331.68761532504323</v>
      </c>
      <c r="M50" s="210">
        <f t="shared" si="7"/>
        <v>-11.184055985066845</v>
      </c>
      <c r="N50" s="211">
        <f t="shared" si="8"/>
        <v>-342.87167131011006</v>
      </c>
      <c r="O50" s="210">
        <v>0</v>
      </c>
      <c r="P50" s="210">
        <v>0</v>
      </c>
      <c r="Q50" s="210">
        <v>0</v>
      </c>
      <c r="R50" s="211">
        <f t="shared" si="9"/>
        <v>-342.87167131011006</v>
      </c>
    </row>
    <row r="51" spans="1:18" x14ac:dyDescent="0.25">
      <c r="A51" s="163">
        <v>8</v>
      </c>
      <c r="B51" s="202">
        <f t="shared" si="13"/>
        <v>44044</v>
      </c>
      <c r="C51" s="226">
        <f t="shared" si="14"/>
        <v>44077</v>
      </c>
      <c r="D51" s="226">
        <f t="shared" si="14"/>
        <v>44098</v>
      </c>
      <c r="E51" s="212" t="s">
        <v>80</v>
      </c>
      <c r="F51" s="163">
        <v>9</v>
      </c>
      <c r="G51" s="205">
        <v>136</v>
      </c>
      <c r="H51" s="206">
        <f t="shared" si="5"/>
        <v>8.6960185985294221</v>
      </c>
      <c r="I51" s="206">
        <f t="shared" si="1"/>
        <v>6.3097767616586076</v>
      </c>
      <c r="J51" s="210">
        <f t="shared" si="15"/>
        <v>858.12963958557066</v>
      </c>
      <c r="K51" s="214">
        <f t="shared" si="16"/>
        <v>1182.6585294000015</v>
      </c>
      <c r="L51" s="213">
        <f t="shared" si="17"/>
        <v>-324.52888981443084</v>
      </c>
      <c r="M51" s="210">
        <f t="shared" si="7"/>
        <v>-10.942673481792022</v>
      </c>
      <c r="N51" s="211">
        <f t="shared" si="8"/>
        <v>-335.47156329622288</v>
      </c>
      <c r="O51" s="210">
        <v>0</v>
      </c>
      <c r="P51" s="210">
        <v>0</v>
      </c>
      <c r="Q51" s="210">
        <v>0</v>
      </c>
      <c r="R51" s="211">
        <f t="shared" si="9"/>
        <v>-335.47156329622288</v>
      </c>
    </row>
    <row r="52" spans="1:18" x14ac:dyDescent="0.25">
      <c r="A52" s="163">
        <v>9</v>
      </c>
      <c r="B52" s="202">
        <f t="shared" si="13"/>
        <v>44075</v>
      </c>
      <c r="C52" s="226">
        <f t="shared" si="14"/>
        <v>44109</v>
      </c>
      <c r="D52" s="226">
        <f t="shared" si="14"/>
        <v>44130</v>
      </c>
      <c r="E52" s="212" t="s">
        <v>80</v>
      </c>
      <c r="F52" s="163">
        <v>9</v>
      </c>
      <c r="G52" s="205">
        <v>116</v>
      </c>
      <c r="H52" s="206">
        <f t="shared" si="5"/>
        <v>8.6960185985294221</v>
      </c>
      <c r="I52" s="206">
        <f t="shared" si="1"/>
        <v>6.3097767616586076</v>
      </c>
      <c r="J52" s="210">
        <f t="shared" si="15"/>
        <v>731.93410435239844</v>
      </c>
      <c r="K52" s="214">
        <f t="shared" si="16"/>
        <v>1008.7381574294129</v>
      </c>
      <c r="L52" s="213">
        <f t="shared" si="17"/>
        <v>-276.80405307701449</v>
      </c>
      <c r="M52" s="210">
        <f t="shared" si="7"/>
        <v>-9.3334567932931947</v>
      </c>
      <c r="N52" s="211">
        <f t="shared" si="8"/>
        <v>-286.13750987030767</v>
      </c>
      <c r="O52" s="210">
        <v>0</v>
      </c>
      <c r="P52" s="210">
        <v>0</v>
      </c>
      <c r="Q52" s="210">
        <v>0</v>
      </c>
      <c r="R52" s="211">
        <f t="shared" si="9"/>
        <v>-286.13750987030767</v>
      </c>
    </row>
    <row r="53" spans="1:18" x14ac:dyDescent="0.25">
      <c r="A53" s="125">
        <v>10</v>
      </c>
      <c r="B53" s="202">
        <f t="shared" si="13"/>
        <v>44105</v>
      </c>
      <c r="C53" s="226">
        <f t="shared" si="14"/>
        <v>44139</v>
      </c>
      <c r="D53" s="226">
        <f t="shared" si="14"/>
        <v>44159</v>
      </c>
      <c r="E53" s="212" t="s">
        <v>80</v>
      </c>
      <c r="F53" s="163">
        <v>9</v>
      </c>
      <c r="G53" s="205">
        <v>78</v>
      </c>
      <c r="H53" s="206">
        <f t="shared" si="5"/>
        <v>8.6960185985294221</v>
      </c>
      <c r="I53" s="206">
        <f t="shared" si="1"/>
        <v>6.3097767616586076</v>
      </c>
      <c r="J53" s="210">
        <f t="shared" si="15"/>
        <v>492.16258740937138</v>
      </c>
      <c r="K53" s="214">
        <f t="shared" si="16"/>
        <v>678.28945068529492</v>
      </c>
      <c r="L53" s="213">
        <f t="shared" si="17"/>
        <v>-186.12686327592354</v>
      </c>
      <c r="M53" s="210">
        <f t="shared" si="7"/>
        <v>-6.2759450851454242</v>
      </c>
      <c r="N53" s="211">
        <f t="shared" si="8"/>
        <v>-192.40280836106896</v>
      </c>
      <c r="O53" s="210">
        <v>0</v>
      </c>
      <c r="P53" s="210">
        <v>0</v>
      </c>
      <c r="Q53" s="210">
        <v>0</v>
      </c>
      <c r="R53" s="211">
        <f t="shared" si="9"/>
        <v>-192.40280836106896</v>
      </c>
    </row>
    <row r="54" spans="1:18" x14ac:dyDescent="0.25">
      <c r="A54" s="163">
        <v>11</v>
      </c>
      <c r="B54" s="202">
        <f t="shared" si="13"/>
        <v>44136</v>
      </c>
      <c r="C54" s="226">
        <f t="shared" si="14"/>
        <v>44168</v>
      </c>
      <c r="D54" s="226">
        <f t="shared" si="14"/>
        <v>44189</v>
      </c>
      <c r="E54" s="212" t="s">
        <v>80</v>
      </c>
      <c r="F54" s="163">
        <v>9</v>
      </c>
      <c r="G54" s="205">
        <v>109</v>
      </c>
      <c r="H54" s="206">
        <f t="shared" si="5"/>
        <v>8.6960185985294221</v>
      </c>
      <c r="I54" s="206">
        <f t="shared" si="1"/>
        <v>6.3097767616586076</v>
      </c>
      <c r="J54" s="210">
        <f t="shared" si="15"/>
        <v>687.76566702078821</v>
      </c>
      <c r="K54" s="214">
        <f t="shared" si="16"/>
        <v>947.86602723970702</v>
      </c>
      <c r="L54" s="213">
        <f t="shared" si="17"/>
        <v>-260.10036021891881</v>
      </c>
      <c r="M54" s="210">
        <f t="shared" si="7"/>
        <v>-8.7702309523186059</v>
      </c>
      <c r="N54" s="211">
        <f t="shared" si="8"/>
        <v>-268.87059117123744</v>
      </c>
      <c r="O54" s="210">
        <v>0</v>
      </c>
      <c r="P54" s="210">
        <v>0</v>
      </c>
      <c r="Q54" s="210">
        <v>0</v>
      </c>
      <c r="R54" s="211">
        <f t="shared" si="9"/>
        <v>-268.87059117123744</v>
      </c>
    </row>
    <row r="55" spans="1:18" x14ac:dyDescent="0.25">
      <c r="A55" s="163">
        <v>12</v>
      </c>
      <c r="B55" s="202">
        <f t="shared" si="13"/>
        <v>44166</v>
      </c>
      <c r="C55" s="226">
        <f t="shared" si="14"/>
        <v>44202</v>
      </c>
      <c r="D55" s="226">
        <f t="shared" si="14"/>
        <v>44221</v>
      </c>
      <c r="E55" s="212" t="s">
        <v>80</v>
      </c>
      <c r="F55" s="163">
        <v>9</v>
      </c>
      <c r="G55" s="217">
        <v>143</v>
      </c>
      <c r="H55" s="218">
        <f t="shared" si="5"/>
        <v>8.6960185985294221</v>
      </c>
      <c r="I55" s="218">
        <f t="shared" si="1"/>
        <v>6.3097767616586076</v>
      </c>
      <c r="J55" s="219">
        <f t="shared" si="15"/>
        <v>902.29807691718088</v>
      </c>
      <c r="K55" s="220">
        <f t="shared" si="16"/>
        <v>1243.5306595897073</v>
      </c>
      <c r="L55" s="221">
        <f t="shared" si="17"/>
        <v>-341.23258267252641</v>
      </c>
      <c r="M55" s="210">
        <f t="shared" si="7"/>
        <v>-11.505899322766611</v>
      </c>
      <c r="N55" s="211">
        <f t="shared" si="8"/>
        <v>-352.738481995293</v>
      </c>
      <c r="O55" s="210">
        <v>0</v>
      </c>
      <c r="P55" s="210">
        <v>0</v>
      </c>
      <c r="Q55" s="210">
        <v>0</v>
      </c>
      <c r="R55" s="211">
        <f t="shared" si="9"/>
        <v>-352.738481995293</v>
      </c>
    </row>
    <row r="56" spans="1:18" s="227" customFormat="1" x14ac:dyDescent="0.25">
      <c r="A56" s="125">
        <v>1</v>
      </c>
      <c r="B56" s="222">
        <f t="shared" si="4"/>
        <v>43831</v>
      </c>
      <c r="C56" s="223">
        <f t="shared" ref="C56:D67" si="18">+C32</f>
        <v>43866</v>
      </c>
      <c r="D56" s="223">
        <f t="shared" si="18"/>
        <v>43885</v>
      </c>
      <c r="E56" s="224" t="s">
        <v>14</v>
      </c>
      <c r="F56" s="225">
        <v>9</v>
      </c>
      <c r="G56" s="205">
        <v>753</v>
      </c>
      <c r="H56" s="206">
        <f t="shared" si="5"/>
        <v>8.6960185985294221</v>
      </c>
      <c r="I56" s="206">
        <f t="shared" si="1"/>
        <v>6.3097767616586076</v>
      </c>
      <c r="J56" s="207">
        <f t="shared" si="2"/>
        <v>4751.261901528931</v>
      </c>
      <c r="K56" s="208">
        <f t="shared" si="11"/>
        <v>6548.1020046926551</v>
      </c>
      <c r="L56" s="209">
        <f t="shared" si="12"/>
        <v>-1796.8401031637241</v>
      </c>
      <c r="M56" s="210">
        <f t="shared" si="7"/>
        <v>-60.587008321980825</v>
      </c>
      <c r="N56" s="211">
        <f t="shared" si="8"/>
        <v>-1857.4271114857049</v>
      </c>
      <c r="O56" s="210">
        <v>0</v>
      </c>
      <c r="P56" s="210">
        <v>0</v>
      </c>
      <c r="Q56" s="210">
        <v>0</v>
      </c>
      <c r="R56" s="211">
        <f t="shared" si="9"/>
        <v>-1857.4271114857049</v>
      </c>
    </row>
    <row r="57" spans="1:18" x14ac:dyDescent="0.25">
      <c r="A57" s="163">
        <v>2</v>
      </c>
      <c r="B57" s="202">
        <f t="shared" si="4"/>
        <v>43862</v>
      </c>
      <c r="C57" s="226">
        <f t="shared" si="18"/>
        <v>43894</v>
      </c>
      <c r="D57" s="226">
        <f t="shared" si="18"/>
        <v>43914</v>
      </c>
      <c r="E57" s="212" t="s">
        <v>14</v>
      </c>
      <c r="F57" s="163">
        <v>9</v>
      </c>
      <c r="G57" s="205">
        <v>715</v>
      </c>
      <c r="H57" s="206">
        <f t="shared" si="5"/>
        <v>8.6960185985294221</v>
      </c>
      <c r="I57" s="206">
        <f t="shared" si="1"/>
        <v>6.3097767616586076</v>
      </c>
      <c r="J57" s="207">
        <f t="shared" si="2"/>
        <v>4511.4903845859044</v>
      </c>
      <c r="K57" s="208">
        <f t="shared" si="11"/>
        <v>6217.6532979485364</v>
      </c>
      <c r="L57" s="209">
        <f t="shared" si="12"/>
        <v>-1706.162913362632</v>
      </c>
      <c r="M57" s="210">
        <f t="shared" si="7"/>
        <v>-57.529496613833061</v>
      </c>
      <c r="N57" s="211">
        <f t="shared" si="8"/>
        <v>-1763.6924099764651</v>
      </c>
      <c r="O57" s="210">
        <v>0</v>
      </c>
      <c r="P57" s="210">
        <v>0</v>
      </c>
      <c r="Q57" s="210">
        <v>0</v>
      </c>
      <c r="R57" s="211">
        <f t="shared" si="9"/>
        <v>-1763.6924099764651</v>
      </c>
    </row>
    <row r="58" spans="1:18" x14ac:dyDescent="0.25">
      <c r="A58" s="163">
        <v>3</v>
      </c>
      <c r="B58" s="202">
        <f t="shared" si="4"/>
        <v>43891</v>
      </c>
      <c r="C58" s="226">
        <f t="shared" si="18"/>
        <v>43924</v>
      </c>
      <c r="D58" s="226">
        <f t="shared" si="18"/>
        <v>43945</v>
      </c>
      <c r="E58" s="212" t="s">
        <v>14</v>
      </c>
      <c r="F58" s="163">
        <v>9</v>
      </c>
      <c r="G58" s="205">
        <v>510</v>
      </c>
      <c r="H58" s="206">
        <f t="shared" si="5"/>
        <v>8.6960185985294221</v>
      </c>
      <c r="I58" s="206">
        <f t="shared" si="1"/>
        <v>6.3097767616586076</v>
      </c>
      <c r="J58" s="207">
        <f t="shared" si="2"/>
        <v>3217.9861484458897</v>
      </c>
      <c r="K58" s="208">
        <f t="shared" si="11"/>
        <v>4434.9694852500052</v>
      </c>
      <c r="L58" s="209">
        <f>+J58-K58</f>
        <v>-1216.9833368041154</v>
      </c>
      <c r="M58" s="210">
        <f t="shared" si="7"/>
        <v>-41.035025556720079</v>
      </c>
      <c r="N58" s="211">
        <f t="shared" si="8"/>
        <v>-1258.0183623608355</v>
      </c>
      <c r="O58" s="210">
        <v>0</v>
      </c>
      <c r="P58" s="210">
        <v>0</v>
      </c>
      <c r="Q58" s="210">
        <v>0</v>
      </c>
      <c r="R58" s="211">
        <f t="shared" si="9"/>
        <v>-1258.0183623608355</v>
      </c>
    </row>
    <row r="59" spans="1:18" x14ac:dyDescent="0.25">
      <c r="A59" s="125">
        <v>4</v>
      </c>
      <c r="B59" s="202">
        <f t="shared" si="4"/>
        <v>43922</v>
      </c>
      <c r="C59" s="226">
        <f t="shared" si="18"/>
        <v>43956</v>
      </c>
      <c r="D59" s="226">
        <f t="shared" si="18"/>
        <v>43976</v>
      </c>
      <c r="E59" s="212" t="s">
        <v>14</v>
      </c>
      <c r="F59" s="163">
        <v>9</v>
      </c>
      <c r="G59" s="205">
        <v>615</v>
      </c>
      <c r="H59" s="206">
        <f t="shared" si="5"/>
        <v>8.6960185985294221</v>
      </c>
      <c r="I59" s="206">
        <f t="shared" si="1"/>
        <v>6.3097767616586076</v>
      </c>
      <c r="J59" s="207">
        <f t="shared" si="2"/>
        <v>3880.5127084200435</v>
      </c>
      <c r="K59" s="208">
        <f t="shared" si="11"/>
        <v>5348.0514380955947</v>
      </c>
      <c r="L59" s="209">
        <f t="shared" ref="L59:L81" si="19">+J59-K59</f>
        <v>-1467.5387296755512</v>
      </c>
      <c r="M59" s="210">
        <f t="shared" si="7"/>
        <v>-49.483413171338917</v>
      </c>
      <c r="N59" s="211">
        <f t="shared" si="8"/>
        <v>-1517.0221428468901</v>
      </c>
      <c r="O59" s="210">
        <v>0</v>
      </c>
      <c r="P59" s="210">
        <v>0</v>
      </c>
      <c r="Q59" s="210">
        <v>0</v>
      </c>
      <c r="R59" s="211">
        <f t="shared" si="9"/>
        <v>-1517.0221428468901</v>
      </c>
    </row>
    <row r="60" spans="1:18" x14ac:dyDescent="0.25">
      <c r="A60" s="163">
        <v>5</v>
      </c>
      <c r="B60" s="202">
        <f t="shared" si="4"/>
        <v>43952</v>
      </c>
      <c r="C60" s="226">
        <f t="shared" si="18"/>
        <v>43985</v>
      </c>
      <c r="D60" s="226">
        <f t="shared" si="18"/>
        <v>44006</v>
      </c>
      <c r="E60" s="54" t="s">
        <v>14</v>
      </c>
      <c r="F60" s="163">
        <v>9</v>
      </c>
      <c r="G60" s="205">
        <v>551</v>
      </c>
      <c r="H60" s="206">
        <f t="shared" si="5"/>
        <v>8.6960185985294221</v>
      </c>
      <c r="I60" s="206">
        <f t="shared" si="1"/>
        <v>6.3097767616586076</v>
      </c>
      <c r="J60" s="207">
        <f t="shared" si="2"/>
        <v>3476.6869956738929</v>
      </c>
      <c r="K60" s="208">
        <f t="shared" si="11"/>
        <v>4791.5062477897118</v>
      </c>
      <c r="L60" s="209">
        <f t="shared" si="19"/>
        <v>-1314.8192521158189</v>
      </c>
      <c r="M60" s="210">
        <f t="shared" si="7"/>
        <v>-44.333919768142671</v>
      </c>
      <c r="N60" s="211">
        <f t="shared" si="8"/>
        <v>-1359.1531718839617</v>
      </c>
      <c r="O60" s="210">
        <v>0</v>
      </c>
      <c r="P60" s="210">
        <v>0</v>
      </c>
      <c r="Q60" s="210">
        <v>0</v>
      </c>
      <c r="R60" s="211">
        <f t="shared" si="9"/>
        <v>-1359.1531718839617</v>
      </c>
    </row>
    <row r="61" spans="1:18" x14ac:dyDescent="0.25">
      <c r="A61" s="163">
        <v>6</v>
      </c>
      <c r="B61" s="202">
        <f t="shared" si="4"/>
        <v>43983</v>
      </c>
      <c r="C61" s="226">
        <f t="shared" si="18"/>
        <v>44015</v>
      </c>
      <c r="D61" s="226">
        <f t="shared" si="18"/>
        <v>44036</v>
      </c>
      <c r="E61" s="54" t="s">
        <v>14</v>
      </c>
      <c r="F61" s="163">
        <v>9</v>
      </c>
      <c r="G61" s="205">
        <v>815</v>
      </c>
      <c r="H61" s="206">
        <f t="shared" si="5"/>
        <v>8.6960185985294221</v>
      </c>
      <c r="I61" s="206">
        <f t="shared" si="1"/>
        <v>6.3097767616586076</v>
      </c>
      <c r="J61" s="207">
        <f t="shared" si="2"/>
        <v>5142.4680607517648</v>
      </c>
      <c r="K61" s="208">
        <f t="shared" si="11"/>
        <v>7087.2551578014791</v>
      </c>
      <c r="L61" s="213">
        <f t="shared" si="19"/>
        <v>-1944.7870970497142</v>
      </c>
      <c r="M61" s="210">
        <f t="shared" si="7"/>
        <v>-65.575580056327183</v>
      </c>
      <c r="N61" s="211">
        <f t="shared" si="8"/>
        <v>-2010.3626771060415</v>
      </c>
      <c r="O61" s="210">
        <v>0</v>
      </c>
      <c r="P61" s="210">
        <v>0</v>
      </c>
      <c r="Q61" s="210">
        <v>0</v>
      </c>
      <c r="R61" s="211">
        <f t="shared" si="9"/>
        <v>-2010.3626771060415</v>
      </c>
    </row>
    <row r="62" spans="1:18" x14ac:dyDescent="0.25">
      <c r="A62" s="125">
        <v>7</v>
      </c>
      <c r="B62" s="202">
        <f t="shared" si="4"/>
        <v>44013</v>
      </c>
      <c r="C62" s="226">
        <f t="shared" si="18"/>
        <v>44048</v>
      </c>
      <c r="D62" s="226">
        <f t="shared" si="18"/>
        <v>44067</v>
      </c>
      <c r="E62" s="54" t="s">
        <v>14</v>
      </c>
      <c r="F62" s="163">
        <v>9</v>
      </c>
      <c r="G62" s="205">
        <v>816</v>
      </c>
      <c r="H62" s="206">
        <f t="shared" si="5"/>
        <v>8.6960185985294221</v>
      </c>
      <c r="I62" s="206">
        <f t="shared" si="1"/>
        <v>6.3097767616586076</v>
      </c>
      <c r="J62" s="207">
        <f t="shared" si="2"/>
        <v>5148.7778375134239</v>
      </c>
      <c r="K62" s="214">
        <f t="shared" si="11"/>
        <v>7095.9511764000081</v>
      </c>
      <c r="L62" s="213">
        <f t="shared" si="19"/>
        <v>-1947.1733388865841</v>
      </c>
      <c r="M62" s="210">
        <f t="shared" si="7"/>
        <v>-65.656040890752138</v>
      </c>
      <c r="N62" s="211">
        <f t="shared" si="8"/>
        <v>-2012.8293797773363</v>
      </c>
      <c r="O62" s="210">
        <v>0</v>
      </c>
      <c r="P62" s="210">
        <v>0</v>
      </c>
      <c r="Q62" s="210">
        <v>0</v>
      </c>
      <c r="R62" s="211">
        <f t="shared" si="9"/>
        <v>-2012.8293797773363</v>
      </c>
    </row>
    <row r="63" spans="1:18" x14ac:dyDescent="0.25">
      <c r="A63" s="163">
        <v>8</v>
      </c>
      <c r="B63" s="202">
        <f t="shared" si="4"/>
        <v>44044</v>
      </c>
      <c r="C63" s="226">
        <f t="shared" si="18"/>
        <v>44077</v>
      </c>
      <c r="D63" s="226">
        <f t="shared" si="18"/>
        <v>44098</v>
      </c>
      <c r="E63" s="54" t="s">
        <v>14</v>
      </c>
      <c r="F63" s="163">
        <v>9</v>
      </c>
      <c r="G63" s="205">
        <v>889</v>
      </c>
      <c r="H63" s="206">
        <f t="shared" si="5"/>
        <v>8.6960185985294221</v>
      </c>
      <c r="I63" s="206">
        <f t="shared" si="1"/>
        <v>6.3097767616586076</v>
      </c>
      <c r="J63" s="207">
        <f t="shared" si="2"/>
        <v>5609.3915411145017</v>
      </c>
      <c r="K63" s="214">
        <f t="shared" si="11"/>
        <v>7730.7605340926566</v>
      </c>
      <c r="L63" s="213">
        <f t="shared" si="19"/>
        <v>-2121.3689929781549</v>
      </c>
      <c r="M63" s="210">
        <f t="shared" si="7"/>
        <v>-71.529681803772846</v>
      </c>
      <c r="N63" s="211">
        <f t="shared" si="8"/>
        <v>-2192.8986747819276</v>
      </c>
      <c r="O63" s="210">
        <v>0</v>
      </c>
      <c r="P63" s="210">
        <v>0</v>
      </c>
      <c r="Q63" s="210">
        <v>0</v>
      </c>
      <c r="R63" s="211">
        <f t="shared" si="9"/>
        <v>-2192.8986747819276</v>
      </c>
    </row>
    <row r="64" spans="1:18" x14ac:dyDescent="0.25">
      <c r="A64" s="163">
        <v>9</v>
      </c>
      <c r="B64" s="202">
        <f t="shared" si="4"/>
        <v>44075</v>
      </c>
      <c r="C64" s="226">
        <f t="shared" si="18"/>
        <v>44109</v>
      </c>
      <c r="D64" s="226">
        <f t="shared" si="18"/>
        <v>44130</v>
      </c>
      <c r="E64" s="54" t="s">
        <v>14</v>
      </c>
      <c r="F64" s="163">
        <v>9</v>
      </c>
      <c r="G64" s="205">
        <v>768</v>
      </c>
      <c r="H64" s="206">
        <f t="shared" si="5"/>
        <v>8.6960185985294221</v>
      </c>
      <c r="I64" s="206">
        <f t="shared" ref="I64:I107" si="20">$J$3</f>
        <v>6.3097767616586076</v>
      </c>
      <c r="J64" s="207">
        <f t="shared" si="2"/>
        <v>4845.9085529538106</v>
      </c>
      <c r="K64" s="214">
        <f t="shared" si="11"/>
        <v>6678.5422836705966</v>
      </c>
      <c r="L64" s="213">
        <f t="shared" si="19"/>
        <v>-1832.633730716786</v>
      </c>
      <c r="M64" s="210">
        <f t="shared" si="7"/>
        <v>-61.793920838354943</v>
      </c>
      <c r="N64" s="211">
        <f t="shared" si="8"/>
        <v>-1894.427651555141</v>
      </c>
      <c r="O64" s="210">
        <v>0</v>
      </c>
      <c r="P64" s="210">
        <v>0</v>
      </c>
      <c r="Q64" s="210">
        <v>0</v>
      </c>
      <c r="R64" s="211">
        <f t="shared" si="9"/>
        <v>-1894.427651555141</v>
      </c>
    </row>
    <row r="65" spans="1:18" x14ac:dyDescent="0.25">
      <c r="A65" s="125">
        <v>10</v>
      </c>
      <c r="B65" s="202">
        <f t="shared" si="4"/>
        <v>44105</v>
      </c>
      <c r="C65" s="226">
        <f t="shared" si="18"/>
        <v>44139</v>
      </c>
      <c r="D65" s="226">
        <f t="shared" si="18"/>
        <v>44159</v>
      </c>
      <c r="E65" s="54" t="s">
        <v>14</v>
      </c>
      <c r="F65" s="163">
        <v>9</v>
      </c>
      <c r="G65" s="205">
        <v>633</v>
      </c>
      <c r="H65" s="206">
        <f t="shared" si="5"/>
        <v>8.6960185985294221</v>
      </c>
      <c r="I65" s="206">
        <f t="shared" si="20"/>
        <v>6.3097767616586076</v>
      </c>
      <c r="J65" s="207">
        <f t="shared" si="2"/>
        <v>3994.0886901298986</v>
      </c>
      <c r="K65" s="214">
        <f t="shared" si="11"/>
        <v>5504.5797728691241</v>
      </c>
      <c r="L65" s="213">
        <f t="shared" si="19"/>
        <v>-1510.4910827392255</v>
      </c>
      <c r="M65" s="210">
        <f t="shared" si="7"/>
        <v>-50.93170819098787</v>
      </c>
      <c r="N65" s="211">
        <f t="shared" si="8"/>
        <v>-1561.4227909302133</v>
      </c>
      <c r="O65" s="210">
        <v>0</v>
      </c>
      <c r="P65" s="210">
        <v>0</v>
      </c>
      <c r="Q65" s="210">
        <v>0</v>
      </c>
      <c r="R65" s="211">
        <f t="shared" si="9"/>
        <v>-1561.4227909302133</v>
      </c>
    </row>
    <row r="66" spans="1:18" x14ac:dyDescent="0.25">
      <c r="A66" s="163">
        <v>11</v>
      </c>
      <c r="B66" s="202">
        <f t="shared" si="4"/>
        <v>44136</v>
      </c>
      <c r="C66" s="226">
        <f t="shared" si="18"/>
        <v>44168</v>
      </c>
      <c r="D66" s="226">
        <f t="shared" si="18"/>
        <v>44189</v>
      </c>
      <c r="E66" s="54" t="s">
        <v>14</v>
      </c>
      <c r="F66" s="163">
        <v>9</v>
      </c>
      <c r="G66" s="205">
        <v>639</v>
      </c>
      <c r="H66" s="206">
        <f t="shared" si="5"/>
        <v>8.6960185985294221</v>
      </c>
      <c r="I66" s="206">
        <f t="shared" si="20"/>
        <v>6.3097767616586076</v>
      </c>
      <c r="J66" s="207">
        <f t="shared" si="2"/>
        <v>4031.9473506998502</v>
      </c>
      <c r="K66" s="214">
        <f t="shared" si="11"/>
        <v>5556.7558844603009</v>
      </c>
      <c r="L66" s="213">
        <f t="shared" si="19"/>
        <v>-1524.8085337604507</v>
      </c>
      <c r="M66" s="210">
        <f t="shared" si="7"/>
        <v>-51.414473197537518</v>
      </c>
      <c r="N66" s="211">
        <f t="shared" si="8"/>
        <v>-1576.2230069579882</v>
      </c>
      <c r="O66" s="210">
        <v>0</v>
      </c>
      <c r="P66" s="210">
        <v>0</v>
      </c>
      <c r="Q66" s="210">
        <v>0</v>
      </c>
      <c r="R66" s="211">
        <f t="shared" si="9"/>
        <v>-1576.2230069579882</v>
      </c>
    </row>
    <row r="67" spans="1:18" s="230" customFormat="1" x14ac:dyDescent="0.25">
      <c r="A67" s="163">
        <v>12</v>
      </c>
      <c r="B67" s="228">
        <f t="shared" si="4"/>
        <v>44166</v>
      </c>
      <c r="C67" s="226">
        <f t="shared" si="18"/>
        <v>44202</v>
      </c>
      <c r="D67" s="226">
        <f t="shared" si="18"/>
        <v>44221</v>
      </c>
      <c r="E67" s="229" t="s">
        <v>14</v>
      </c>
      <c r="F67" s="174">
        <v>9</v>
      </c>
      <c r="G67" s="217">
        <v>734</v>
      </c>
      <c r="H67" s="218">
        <f t="shared" si="5"/>
        <v>8.6960185985294221</v>
      </c>
      <c r="I67" s="218">
        <f t="shared" si="20"/>
        <v>6.3097767616586076</v>
      </c>
      <c r="J67" s="219">
        <f t="shared" si="2"/>
        <v>4631.3761430574177</v>
      </c>
      <c r="K67" s="220">
        <f t="shared" si="11"/>
        <v>6382.8776513205958</v>
      </c>
      <c r="L67" s="221">
        <f t="shared" si="19"/>
        <v>-1751.501508263178</v>
      </c>
      <c r="M67" s="210">
        <f t="shared" si="7"/>
        <v>-59.058252467906939</v>
      </c>
      <c r="N67" s="211">
        <f t="shared" si="8"/>
        <v>-1810.5597607310849</v>
      </c>
      <c r="O67" s="210">
        <v>0</v>
      </c>
      <c r="P67" s="210">
        <v>0</v>
      </c>
      <c r="Q67" s="210">
        <v>0</v>
      </c>
      <c r="R67" s="211">
        <f t="shared" si="9"/>
        <v>-1810.5597607310849</v>
      </c>
    </row>
    <row r="68" spans="1:18" x14ac:dyDescent="0.25">
      <c r="A68" s="125">
        <v>1</v>
      </c>
      <c r="B68" s="202">
        <f t="shared" si="4"/>
        <v>43831</v>
      </c>
      <c r="C68" s="223">
        <f t="shared" ref="C68:D79" si="21">+C56</f>
        <v>43866</v>
      </c>
      <c r="D68" s="223">
        <f t="shared" si="21"/>
        <v>43885</v>
      </c>
      <c r="E68" s="204" t="s">
        <v>82</v>
      </c>
      <c r="F68" s="125">
        <v>9</v>
      </c>
      <c r="G68" s="205">
        <v>41</v>
      </c>
      <c r="H68" s="206">
        <f t="shared" si="5"/>
        <v>8.6960185985294221</v>
      </c>
      <c r="I68" s="206">
        <f t="shared" si="20"/>
        <v>6.3097767616586076</v>
      </c>
      <c r="J68" s="207">
        <f t="shared" si="2"/>
        <v>258.70084722800289</v>
      </c>
      <c r="K68" s="208">
        <f t="shared" si="11"/>
        <v>356.53676253970633</v>
      </c>
      <c r="L68" s="209">
        <f t="shared" si="19"/>
        <v>-97.835915311703445</v>
      </c>
      <c r="M68" s="210">
        <f t="shared" si="7"/>
        <v>-3.2988942114225952</v>
      </c>
      <c r="N68" s="211">
        <f t="shared" si="8"/>
        <v>-101.13480952312604</v>
      </c>
      <c r="O68" s="210">
        <v>0</v>
      </c>
      <c r="P68" s="210">
        <v>0</v>
      </c>
      <c r="Q68" s="210">
        <v>0</v>
      </c>
      <c r="R68" s="211">
        <f t="shared" si="9"/>
        <v>-101.13480952312604</v>
      </c>
    </row>
    <row r="69" spans="1:18" x14ac:dyDescent="0.25">
      <c r="A69" s="163">
        <v>2</v>
      </c>
      <c r="B69" s="202">
        <f t="shared" si="4"/>
        <v>43862</v>
      </c>
      <c r="C69" s="226">
        <f t="shared" si="21"/>
        <v>43894</v>
      </c>
      <c r="D69" s="226">
        <f t="shared" si="21"/>
        <v>43914</v>
      </c>
      <c r="E69" s="212" t="s">
        <v>82</v>
      </c>
      <c r="F69" s="163">
        <v>9</v>
      </c>
      <c r="G69" s="205">
        <v>34</v>
      </c>
      <c r="H69" s="206">
        <f t="shared" si="5"/>
        <v>8.6960185985294221</v>
      </c>
      <c r="I69" s="206">
        <f t="shared" si="20"/>
        <v>6.3097767616586076</v>
      </c>
      <c r="J69" s="207">
        <f t="shared" si="2"/>
        <v>214.53240989639266</v>
      </c>
      <c r="K69" s="208">
        <f t="shared" si="11"/>
        <v>295.66463235000037</v>
      </c>
      <c r="L69" s="209">
        <f t="shared" si="19"/>
        <v>-81.13222245360771</v>
      </c>
      <c r="M69" s="210">
        <f t="shared" si="7"/>
        <v>-2.7356683704480056</v>
      </c>
      <c r="N69" s="211">
        <f t="shared" si="8"/>
        <v>-83.867890824055721</v>
      </c>
      <c r="O69" s="210">
        <v>0</v>
      </c>
      <c r="P69" s="210">
        <v>0</v>
      </c>
      <c r="Q69" s="210">
        <v>0</v>
      </c>
      <c r="R69" s="211">
        <f t="shared" si="9"/>
        <v>-83.867890824055721</v>
      </c>
    </row>
    <row r="70" spans="1:18" x14ac:dyDescent="0.25">
      <c r="A70" s="163">
        <v>3</v>
      </c>
      <c r="B70" s="202">
        <f t="shared" si="4"/>
        <v>43891</v>
      </c>
      <c r="C70" s="226">
        <f t="shared" si="21"/>
        <v>43924</v>
      </c>
      <c r="D70" s="226">
        <f t="shared" si="21"/>
        <v>43945</v>
      </c>
      <c r="E70" s="212" t="s">
        <v>82</v>
      </c>
      <c r="F70" s="163">
        <v>9</v>
      </c>
      <c r="G70" s="205">
        <v>25</v>
      </c>
      <c r="H70" s="206">
        <f t="shared" si="5"/>
        <v>8.6960185985294221</v>
      </c>
      <c r="I70" s="206">
        <f t="shared" si="20"/>
        <v>6.3097767616586076</v>
      </c>
      <c r="J70" s="207">
        <f t="shared" si="2"/>
        <v>157.74441904146519</v>
      </c>
      <c r="K70" s="208">
        <f t="shared" si="11"/>
        <v>217.40046496323555</v>
      </c>
      <c r="L70" s="209">
        <f>+J70-K70</f>
        <v>-59.656045921770357</v>
      </c>
      <c r="M70" s="210">
        <f t="shared" si="7"/>
        <v>-2.0115208606235333</v>
      </c>
      <c r="N70" s="211">
        <f t="shared" si="8"/>
        <v>-61.667566782393891</v>
      </c>
      <c r="O70" s="210">
        <v>0</v>
      </c>
      <c r="P70" s="210">
        <v>0</v>
      </c>
      <c r="Q70" s="210">
        <v>0</v>
      </c>
      <c r="R70" s="211">
        <f t="shared" si="9"/>
        <v>-61.667566782393891</v>
      </c>
    </row>
    <row r="71" spans="1:18" x14ac:dyDescent="0.25">
      <c r="A71" s="125">
        <v>4</v>
      </c>
      <c r="B71" s="202">
        <f t="shared" si="4"/>
        <v>43922</v>
      </c>
      <c r="C71" s="226">
        <f t="shared" si="21"/>
        <v>43956</v>
      </c>
      <c r="D71" s="226">
        <f t="shared" si="21"/>
        <v>43976</v>
      </c>
      <c r="E71" s="212" t="s">
        <v>82</v>
      </c>
      <c r="F71" s="163">
        <v>9</v>
      </c>
      <c r="G71" s="205">
        <v>31</v>
      </c>
      <c r="H71" s="206">
        <f t="shared" si="5"/>
        <v>8.6960185985294221</v>
      </c>
      <c r="I71" s="206">
        <f t="shared" si="20"/>
        <v>6.3097767616586076</v>
      </c>
      <c r="J71" s="207">
        <f t="shared" si="2"/>
        <v>195.60307961141683</v>
      </c>
      <c r="K71" s="208">
        <f t="shared" si="11"/>
        <v>269.5765765544121</v>
      </c>
      <c r="L71" s="209">
        <f t="shared" ref="L71:L79" si="22">+J71-K71</f>
        <v>-73.973496942995268</v>
      </c>
      <c r="M71" s="210">
        <f t="shared" si="7"/>
        <v>-2.4942858671731813</v>
      </c>
      <c r="N71" s="211">
        <f t="shared" si="8"/>
        <v>-76.467782810168444</v>
      </c>
      <c r="O71" s="210">
        <v>0</v>
      </c>
      <c r="P71" s="210">
        <v>0</v>
      </c>
      <c r="Q71" s="210">
        <v>0</v>
      </c>
      <c r="R71" s="211">
        <f t="shared" si="9"/>
        <v>-76.467782810168444</v>
      </c>
    </row>
    <row r="72" spans="1:18" x14ac:dyDescent="0.25">
      <c r="A72" s="163">
        <v>5</v>
      </c>
      <c r="B72" s="202">
        <f t="shared" si="4"/>
        <v>43952</v>
      </c>
      <c r="C72" s="226">
        <f t="shared" si="21"/>
        <v>43985</v>
      </c>
      <c r="D72" s="226">
        <f t="shared" si="21"/>
        <v>44006</v>
      </c>
      <c r="E72" s="212" t="s">
        <v>82</v>
      </c>
      <c r="F72" s="163">
        <v>9</v>
      </c>
      <c r="G72" s="205">
        <v>28</v>
      </c>
      <c r="H72" s="206">
        <f t="shared" si="5"/>
        <v>8.6960185985294221</v>
      </c>
      <c r="I72" s="206">
        <f t="shared" si="20"/>
        <v>6.3097767616586076</v>
      </c>
      <c r="J72" s="207">
        <f t="shared" si="2"/>
        <v>176.673749326441</v>
      </c>
      <c r="K72" s="208">
        <f t="shared" si="11"/>
        <v>243.48852075882382</v>
      </c>
      <c r="L72" s="209">
        <f t="shared" si="22"/>
        <v>-66.814771432382827</v>
      </c>
      <c r="M72" s="210">
        <f t="shared" si="7"/>
        <v>-2.2529033638983575</v>
      </c>
      <c r="N72" s="211">
        <f t="shared" si="8"/>
        <v>-69.067674796281182</v>
      </c>
      <c r="O72" s="210">
        <v>0</v>
      </c>
      <c r="P72" s="210">
        <v>0</v>
      </c>
      <c r="Q72" s="210">
        <v>0</v>
      </c>
      <c r="R72" s="211">
        <f t="shared" si="9"/>
        <v>-69.067674796281182</v>
      </c>
    </row>
    <row r="73" spans="1:18" x14ac:dyDescent="0.25">
      <c r="A73" s="163">
        <v>6</v>
      </c>
      <c r="B73" s="202">
        <f t="shared" si="4"/>
        <v>43983</v>
      </c>
      <c r="C73" s="226">
        <f t="shared" si="21"/>
        <v>44015</v>
      </c>
      <c r="D73" s="226">
        <f t="shared" si="21"/>
        <v>44036</v>
      </c>
      <c r="E73" s="212" t="s">
        <v>82</v>
      </c>
      <c r="F73" s="163">
        <v>9</v>
      </c>
      <c r="G73" s="205">
        <v>46</v>
      </c>
      <c r="H73" s="206">
        <f t="shared" si="5"/>
        <v>8.6960185985294221</v>
      </c>
      <c r="I73" s="206">
        <f t="shared" si="20"/>
        <v>6.3097767616586076</v>
      </c>
      <c r="J73" s="207">
        <f t="shared" si="2"/>
        <v>290.24973103629594</v>
      </c>
      <c r="K73" s="208">
        <f t="shared" si="11"/>
        <v>400.01685553235342</v>
      </c>
      <c r="L73" s="213">
        <f t="shared" si="22"/>
        <v>-109.76712449605748</v>
      </c>
      <c r="M73" s="210">
        <f t="shared" si="7"/>
        <v>-3.7011983835473012</v>
      </c>
      <c r="N73" s="211">
        <f t="shared" si="8"/>
        <v>-113.46832287960478</v>
      </c>
      <c r="O73" s="210">
        <v>0</v>
      </c>
      <c r="P73" s="210">
        <v>0</v>
      </c>
      <c r="Q73" s="210">
        <v>0</v>
      </c>
      <c r="R73" s="211">
        <f t="shared" si="9"/>
        <v>-113.46832287960478</v>
      </c>
    </row>
    <row r="74" spans="1:18" x14ac:dyDescent="0.25">
      <c r="A74" s="125">
        <v>7</v>
      </c>
      <c r="B74" s="202">
        <f t="shared" si="4"/>
        <v>44013</v>
      </c>
      <c r="C74" s="226">
        <f t="shared" si="21"/>
        <v>44048</v>
      </c>
      <c r="D74" s="226">
        <f t="shared" si="21"/>
        <v>44067</v>
      </c>
      <c r="E74" s="212" t="s">
        <v>82</v>
      </c>
      <c r="F74" s="163">
        <v>9</v>
      </c>
      <c r="G74" s="205">
        <v>46</v>
      </c>
      <c r="H74" s="206">
        <f t="shared" si="5"/>
        <v>8.6960185985294221</v>
      </c>
      <c r="I74" s="206">
        <f t="shared" si="20"/>
        <v>6.3097767616586076</v>
      </c>
      <c r="J74" s="207">
        <f t="shared" si="2"/>
        <v>290.24973103629594</v>
      </c>
      <c r="K74" s="214">
        <f t="shared" si="11"/>
        <v>400.01685553235342</v>
      </c>
      <c r="L74" s="213">
        <f t="shared" si="22"/>
        <v>-109.76712449605748</v>
      </c>
      <c r="M74" s="210">
        <f t="shared" si="7"/>
        <v>-3.7011983835473012</v>
      </c>
      <c r="N74" s="211">
        <f t="shared" si="8"/>
        <v>-113.46832287960478</v>
      </c>
      <c r="O74" s="210">
        <v>0</v>
      </c>
      <c r="P74" s="210">
        <v>0</v>
      </c>
      <c r="Q74" s="210">
        <v>0</v>
      </c>
      <c r="R74" s="211">
        <f t="shared" si="9"/>
        <v>-113.46832287960478</v>
      </c>
    </row>
    <row r="75" spans="1:18" x14ac:dyDescent="0.25">
      <c r="A75" s="163">
        <v>8</v>
      </c>
      <c r="B75" s="202">
        <f t="shared" si="4"/>
        <v>44044</v>
      </c>
      <c r="C75" s="226">
        <f t="shared" si="21"/>
        <v>44077</v>
      </c>
      <c r="D75" s="226">
        <f t="shared" si="21"/>
        <v>44098</v>
      </c>
      <c r="E75" s="212" t="s">
        <v>82</v>
      </c>
      <c r="F75" s="163">
        <v>9</v>
      </c>
      <c r="G75" s="205">
        <v>43</v>
      </c>
      <c r="H75" s="206">
        <f t="shared" si="5"/>
        <v>8.6960185985294221</v>
      </c>
      <c r="I75" s="206">
        <f t="shared" si="20"/>
        <v>6.3097767616586076</v>
      </c>
      <c r="J75" s="207">
        <f t="shared" si="2"/>
        <v>271.32040075132011</v>
      </c>
      <c r="K75" s="214">
        <f t="shared" si="11"/>
        <v>373.92879973676514</v>
      </c>
      <c r="L75" s="213">
        <f t="shared" si="22"/>
        <v>-102.60839898544504</v>
      </c>
      <c r="M75" s="210">
        <f t="shared" si="7"/>
        <v>-3.4598158802724774</v>
      </c>
      <c r="N75" s="211">
        <f t="shared" si="8"/>
        <v>-106.06821486571751</v>
      </c>
      <c r="O75" s="210">
        <v>0</v>
      </c>
      <c r="P75" s="210">
        <v>0</v>
      </c>
      <c r="Q75" s="210">
        <v>0</v>
      </c>
      <c r="R75" s="211">
        <f t="shared" si="9"/>
        <v>-106.06821486571751</v>
      </c>
    </row>
    <row r="76" spans="1:18" x14ac:dyDescent="0.25">
      <c r="A76" s="163">
        <v>9</v>
      </c>
      <c r="B76" s="202">
        <f t="shared" si="4"/>
        <v>44075</v>
      </c>
      <c r="C76" s="226">
        <f t="shared" si="21"/>
        <v>44109</v>
      </c>
      <c r="D76" s="226">
        <f t="shared" si="21"/>
        <v>44130</v>
      </c>
      <c r="E76" s="212" t="s">
        <v>82</v>
      </c>
      <c r="F76" s="163">
        <v>9</v>
      </c>
      <c r="G76" s="205">
        <v>41</v>
      </c>
      <c r="H76" s="206">
        <f t="shared" si="5"/>
        <v>8.6960185985294221</v>
      </c>
      <c r="I76" s="206">
        <f t="shared" si="20"/>
        <v>6.3097767616586076</v>
      </c>
      <c r="J76" s="207">
        <f t="shared" si="2"/>
        <v>258.70084722800289</v>
      </c>
      <c r="K76" s="214">
        <f t="shared" si="11"/>
        <v>356.53676253970633</v>
      </c>
      <c r="L76" s="213">
        <f t="shared" si="22"/>
        <v>-97.835915311703445</v>
      </c>
      <c r="M76" s="210">
        <f t="shared" si="7"/>
        <v>-3.2988942114225952</v>
      </c>
      <c r="N76" s="211">
        <f t="shared" si="8"/>
        <v>-101.13480952312604</v>
      </c>
      <c r="O76" s="210">
        <v>0</v>
      </c>
      <c r="P76" s="210">
        <v>0</v>
      </c>
      <c r="Q76" s="210">
        <v>0</v>
      </c>
      <c r="R76" s="211">
        <f t="shared" si="9"/>
        <v>-101.13480952312604</v>
      </c>
    </row>
    <row r="77" spans="1:18" x14ac:dyDescent="0.25">
      <c r="A77" s="125">
        <v>10</v>
      </c>
      <c r="B77" s="202">
        <f t="shared" si="4"/>
        <v>44105</v>
      </c>
      <c r="C77" s="226">
        <f t="shared" si="21"/>
        <v>44139</v>
      </c>
      <c r="D77" s="226">
        <f t="shared" si="21"/>
        <v>44159</v>
      </c>
      <c r="E77" s="212" t="s">
        <v>82</v>
      </c>
      <c r="F77" s="163">
        <v>9</v>
      </c>
      <c r="G77" s="205">
        <v>32</v>
      </c>
      <c r="H77" s="206">
        <f t="shared" si="5"/>
        <v>8.6960185985294221</v>
      </c>
      <c r="I77" s="206">
        <f t="shared" si="20"/>
        <v>6.3097767616586076</v>
      </c>
      <c r="J77" s="207">
        <f t="shared" si="2"/>
        <v>201.91285637307544</v>
      </c>
      <c r="K77" s="214">
        <f t="shared" si="11"/>
        <v>278.27259515294151</v>
      </c>
      <c r="L77" s="213">
        <f t="shared" si="22"/>
        <v>-76.359738779866063</v>
      </c>
      <c r="M77" s="210">
        <f t="shared" si="7"/>
        <v>-2.5747467015981229</v>
      </c>
      <c r="N77" s="211">
        <f t="shared" si="8"/>
        <v>-78.934485481464179</v>
      </c>
      <c r="O77" s="210">
        <v>0</v>
      </c>
      <c r="P77" s="210">
        <v>0</v>
      </c>
      <c r="Q77" s="210">
        <v>0</v>
      </c>
      <c r="R77" s="211">
        <f t="shared" si="9"/>
        <v>-78.934485481464179</v>
      </c>
    </row>
    <row r="78" spans="1:18" x14ac:dyDescent="0.25">
      <c r="A78" s="163">
        <v>11</v>
      </c>
      <c r="B78" s="202">
        <f t="shared" si="4"/>
        <v>44136</v>
      </c>
      <c r="C78" s="226">
        <f t="shared" si="21"/>
        <v>44168</v>
      </c>
      <c r="D78" s="226">
        <f t="shared" si="21"/>
        <v>44189</v>
      </c>
      <c r="E78" s="212" t="s">
        <v>82</v>
      </c>
      <c r="F78" s="163">
        <v>9</v>
      </c>
      <c r="G78" s="205">
        <v>30</v>
      </c>
      <c r="H78" s="206">
        <f t="shared" si="5"/>
        <v>8.6960185985294221</v>
      </c>
      <c r="I78" s="206">
        <f t="shared" si="20"/>
        <v>6.3097767616586076</v>
      </c>
      <c r="J78" s="207">
        <f t="shared" si="2"/>
        <v>189.29330284975822</v>
      </c>
      <c r="K78" s="214">
        <f>+$G78*H78</f>
        <v>260.88055795588264</v>
      </c>
      <c r="L78" s="213">
        <f t="shared" si="22"/>
        <v>-71.587255106124417</v>
      </c>
      <c r="M78" s="210">
        <f t="shared" si="7"/>
        <v>-2.4138250327482402</v>
      </c>
      <c r="N78" s="211">
        <f t="shared" si="8"/>
        <v>-74.001080138872652</v>
      </c>
      <c r="O78" s="210">
        <v>0</v>
      </c>
      <c r="P78" s="210">
        <v>0</v>
      </c>
      <c r="Q78" s="210">
        <v>0</v>
      </c>
      <c r="R78" s="211">
        <f t="shared" si="9"/>
        <v>-74.001080138872652</v>
      </c>
    </row>
    <row r="79" spans="1:18" s="230" customFormat="1" x14ac:dyDescent="0.25">
      <c r="A79" s="163">
        <v>12</v>
      </c>
      <c r="B79" s="228">
        <f t="shared" si="4"/>
        <v>44166</v>
      </c>
      <c r="C79" s="231">
        <f t="shared" si="21"/>
        <v>44202</v>
      </c>
      <c r="D79" s="231">
        <f t="shared" si="21"/>
        <v>44221</v>
      </c>
      <c r="E79" s="232" t="s">
        <v>82</v>
      </c>
      <c r="F79" s="174">
        <v>9</v>
      </c>
      <c r="G79" s="217">
        <v>39</v>
      </c>
      <c r="H79" s="218">
        <f t="shared" si="5"/>
        <v>8.6960185985294221</v>
      </c>
      <c r="I79" s="218">
        <f t="shared" si="20"/>
        <v>6.3097767616586076</v>
      </c>
      <c r="J79" s="219">
        <f t="shared" si="2"/>
        <v>246.08129370468569</v>
      </c>
      <c r="K79" s="220">
        <f>+$G79*H79</f>
        <v>339.14472534264746</v>
      </c>
      <c r="L79" s="221">
        <f t="shared" si="22"/>
        <v>-93.06343163796177</v>
      </c>
      <c r="M79" s="210">
        <f t="shared" si="7"/>
        <v>-3.1379725425727121</v>
      </c>
      <c r="N79" s="211">
        <f t="shared" si="8"/>
        <v>-96.201404180534482</v>
      </c>
      <c r="O79" s="210">
        <v>0</v>
      </c>
      <c r="P79" s="210">
        <v>0</v>
      </c>
      <c r="Q79" s="210">
        <v>0</v>
      </c>
      <c r="R79" s="211">
        <f t="shared" si="9"/>
        <v>-96.201404180534482</v>
      </c>
    </row>
    <row r="80" spans="1:18" s="52" customFormat="1" ht="12.75" customHeight="1" x14ac:dyDescent="0.25">
      <c r="A80" s="125">
        <v>1</v>
      </c>
      <c r="B80" s="202">
        <f t="shared" si="4"/>
        <v>43831</v>
      </c>
      <c r="C80" s="223">
        <f t="shared" ref="C80:D91" si="23">+C56</f>
        <v>43866</v>
      </c>
      <c r="D80" s="223">
        <f t="shared" si="23"/>
        <v>43885</v>
      </c>
      <c r="E80" s="204" t="s">
        <v>9</v>
      </c>
      <c r="F80" s="125">
        <v>9</v>
      </c>
      <c r="G80" s="205">
        <v>40</v>
      </c>
      <c r="H80" s="206">
        <f t="shared" si="5"/>
        <v>8.6960185985294221</v>
      </c>
      <c r="I80" s="206">
        <f t="shared" si="20"/>
        <v>6.3097767616586076</v>
      </c>
      <c r="J80" s="207">
        <f t="shared" si="2"/>
        <v>252.3910704663443</v>
      </c>
      <c r="K80" s="208">
        <f t="shared" si="11"/>
        <v>347.84074394117687</v>
      </c>
      <c r="L80" s="209">
        <f t="shared" si="19"/>
        <v>-95.449673474832565</v>
      </c>
      <c r="M80" s="210">
        <f t="shared" si="7"/>
        <v>-3.2184333769976536</v>
      </c>
      <c r="N80" s="211">
        <f t="shared" si="8"/>
        <v>-98.668106851830217</v>
      </c>
      <c r="O80" s="210">
        <v>0</v>
      </c>
      <c r="P80" s="210">
        <v>0</v>
      </c>
      <c r="Q80" s="210">
        <v>0</v>
      </c>
      <c r="R80" s="211">
        <f t="shared" si="9"/>
        <v>-98.668106851830217</v>
      </c>
    </row>
    <row r="81" spans="1:18" x14ac:dyDescent="0.25">
      <c r="A81" s="163">
        <v>2</v>
      </c>
      <c r="B81" s="202">
        <f t="shared" si="4"/>
        <v>43862</v>
      </c>
      <c r="C81" s="226">
        <f t="shared" si="23"/>
        <v>43894</v>
      </c>
      <c r="D81" s="226">
        <f t="shared" si="23"/>
        <v>43914</v>
      </c>
      <c r="E81" s="212" t="s">
        <v>9</v>
      </c>
      <c r="F81" s="163">
        <v>9</v>
      </c>
      <c r="G81" s="205">
        <v>42</v>
      </c>
      <c r="H81" s="206">
        <f t="shared" si="5"/>
        <v>8.6960185985294221</v>
      </c>
      <c r="I81" s="206">
        <f t="shared" si="20"/>
        <v>6.3097767616586076</v>
      </c>
      <c r="J81" s="207">
        <f t="shared" si="2"/>
        <v>265.0106239896615</v>
      </c>
      <c r="K81" s="208">
        <f t="shared" si="11"/>
        <v>365.23278113823574</v>
      </c>
      <c r="L81" s="209">
        <f t="shared" si="19"/>
        <v>-100.22215714857424</v>
      </c>
      <c r="M81" s="210">
        <f t="shared" si="7"/>
        <v>-3.3793550458475359</v>
      </c>
      <c r="N81" s="211">
        <f t="shared" si="8"/>
        <v>-103.60151219442177</v>
      </c>
      <c r="O81" s="210">
        <v>0</v>
      </c>
      <c r="P81" s="210">
        <v>0</v>
      </c>
      <c r="Q81" s="210">
        <v>0</v>
      </c>
      <c r="R81" s="211">
        <f t="shared" si="9"/>
        <v>-103.60151219442177</v>
      </c>
    </row>
    <row r="82" spans="1:18" x14ac:dyDescent="0.25">
      <c r="A82" s="163">
        <v>3</v>
      </c>
      <c r="B82" s="202">
        <f t="shared" si="4"/>
        <v>43891</v>
      </c>
      <c r="C82" s="226">
        <f t="shared" si="23"/>
        <v>43924</v>
      </c>
      <c r="D82" s="226">
        <f t="shared" si="23"/>
        <v>43945</v>
      </c>
      <c r="E82" s="212" t="s">
        <v>9</v>
      </c>
      <c r="F82" s="163">
        <v>9</v>
      </c>
      <c r="G82" s="205">
        <v>29</v>
      </c>
      <c r="H82" s="206">
        <f t="shared" si="5"/>
        <v>8.6960185985294221</v>
      </c>
      <c r="I82" s="206">
        <f t="shared" si="20"/>
        <v>6.3097767616586076</v>
      </c>
      <c r="J82" s="207">
        <f t="shared" si="2"/>
        <v>182.98352608809961</v>
      </c>
      <c r="K82" s="208">
        <f t="shared" si="11"/>
        <v>252.18453935735323</v>
      </c>
      <c r="L82" s="209">
        <f>+J82-K82</f>
        <v>-69.201013269253622</v>
      </c>
      <c r="M82" s="210">
        <f t="shared" si="7"/>
        <v>-2.3333641983232987</v>
      </c>
      <c r="N82" s="211">
        <f t="shared" si="8"/>
        <v>-71.534377467576917</v>
      </c>
      <c r="O82" s="210">
        <v>0</v>
      </c>
      <c r="P82" s="210">
        <v>0</v>
      </c>
      <c r="Q82" s="210">
        <v>0</v>
      </c>
      <c r="R82" s="211">
        <f t="shared" si="9"/>
        <v>-71.534377467576917</v>
      </c>
    </row>
    <row r="83" spans="1:18" ht="12" customHeight="1" x14ac:dyDescent="0.25">
      <c r="A83" s="125">
        <v>4</v>
      </c>
      <c r="B83" s="202">
        <f t="shared" si="4"/>
        <v>43922</v>
      </c>
      <c r="C83" s="226">
        <f t="shared" si="23"/>
        <v>43956</v>
      </c>
      <c r="D83" s="226">
        <f t="shared" si="23"/>
        <v>43976</v>
      </c>
      <c r="E83" s="54" t="s">
        <v>9</v>
      </c>
      <c r="F83" s="163">
        <v>9</v>
      </c>
      <c r="G83" s="205">
        <v>32</v>
      </c>
      <c r="H83" s="206">
        <f t="shared" si="5"/>
        <v>8.6960185985294221</v>
      </c>
      <c r="I83" s="206">
        <f t="shared" si="20"/>
        <v>6.3097767616586076</v>
      </c>
      <c r="J83" s="207">
        <f t="shared" si="2"/>
        <v>201.91285637307544</v>
      </c>
      <c r="K83" s="208">
        <f t="shared" si="11"/>
        <v>278.27259515294151</v>
      </c>
      <c r="L83" s="209">
        <f t="shared" ref="L83:L93" si="24">+J83-K83</f>
        <v>-76.359738779866063</v>
      </c>
      <c r="M83" s="210">
        <f t="shared" si="7"/>
        <v>-2.5747467015981229</v>
      </c>
      <c r="N83" s="211">
        <f t="shared" si="8"/>
        <v>-78.934485481464179</v>
      </c>
      <c r="O83" s="210">
        <v>0</v>
      </c>
      <c r="P83" s="210">
        <v>0</v>
      </c>
      <c r="Q83" s="210">
        <v>0</v>
      </c>
      <c r="R83" s="211">
        <f t="shared" si="9"/>
        <v>-78.934485481464179</v>
      </c>
    </row>
    <row r="84" spans="1:18" ht="12" customHeight="1" x14ac:dyDescent="0.25">
      <c r="A84" s="163">
        <v>5</v>
      </c>
      <c r="B84" s="202">
        <f t="shared" si="4"/>
        <v>43952</v>
      </c>
      <c r="C84" s="226">
        <f t="shared" si="23"/>
        <v>43985</v>
      </c>
      <c r="D84" s="226">
        <f t="shared" si="23"/>
        <v>44006</v>
      </c>
      <c r="E84" s="54" t="s">
        <v>9</v>
      </c>
      <c r="F84" s="163">
        <v>9</v>
      </c>
      <c r="G84" s="205">
        <v>24</v>
      </c>
      <c r="H84" s="206">
        <f t="shared" si="5"/>
        <v>8.6960185985294221</v>
      </c>
      <c r="I84" s="206">
        <f t="shared" si="20"/>
        <v>6.3097767616586076</v>
      </c>
      <c r="J84" s="207">
        <f t="shared" si="2"/>
        <v>151.43464227980658</v>
      </c>
      <c r="K84" s="208">
        <f t="shared" si="11"/>
        <v>208.70444636470614</v>
      </c>
      <c r="L84" s="209">
        <f t="shared" si="24"/>
        <v>-57.269804084899562</v>
      </c>
      <c r="M84" s="210">
        <f t="shared" si="7"/>
        <v>-1.931060026198592</v>
      </c>
      <c r="N84" s="211">
        <f t="shared" si="8"/>
        <v>-59.200864111098156</v>
      </c>
      <c r="O84" s="210">
        <v>0</v>
      </c>
      <c r="P84" s="210">
        <v>0</v>
      </c>
      <c r="Q84" s="210">
        <v>0</v>
      </c>
      <c r="R84" s="211">
        <f t="shared" si="9"/>
        <v>-59.200864111098156</v>
      </c>
    </row>
    <row r="85" spans="1:18" x14ac:dyDescent="0.25">
      <c r="A85" s="163">
        <v>6</v>
      </c>
      <c r="B85" s="202">
        <f t="shared" si="4"/>
        <v>43983</v>
      </c>
      <c r="C85" s="226">
        <f t="shared" si="23"/>
        <v>44015</v>
      </c>
      <c r="D85" s="226">
        <f t="shared" si="23"/>
        <v>44036</v>
      </c>
      <c r="E85" s="54" t="s">
        <v>9</v>
      </c>
      <c r="F85" s="163">
        <v>9</v>
      </c>
      <c r="G85" s="205">
        <v>32</v>
      </c>
      <c r="H85" s="206">
        <f t="shared" ref="H85:H148" si="25">+$K$3</f>
        <v>8.6960185985294221</v>
      </c>
      <c r="I85" s="206">
        <f t="shared" si="20"/>
        <v>6.3097767616586076</v>
      </c>
      <c r="J85" s="207">
        <f t="shared" si="2"/>
        <v>201.91285637307544</v>
      </c>
      <c r="K85" s="208">
        <f t="shared" si="11"/>
        <v>278.27259515294151</v>
      </c>
      <c r="L85" s="213">
        <f t="shared" si="24"/>
        <v>-76.359738779866063</v>
      </c>
      <c r="M85" s="210">
        <f t="shared" ref="M85:M148" si="26">G85/$G$212*$M$14</f>
        <v>-2.5747467015981229</v>
      </c>
      <c r="N85" s="211">
        <f t="shared" ref="N85:N148" si="27">SUM(L85:M85)</f>
        <v>-78.934485481464179</v>
      </c>
      <c r="O85" s="210">
        <v>0</v>
      </c>
      <c r="P85" s="210">
        <v>0</v>
      </c>
      <c r="Q85" s="210">
        <v>0</v>
      </c>
      <c r="R85" s="211">
        <f t="shared" ref="R85:R148" si="28">+N85-Q85</f>
        <v>-78.934485481464179</v>
      </c>
    </row>
    <row r="86" spans="1:18" x14ac:dyDescent="0.25">
      <c r="A86" s="125">
        <v>7</v>
      </c>
      <c r="B86" s="202">
        <f t="shared" si="4"/>
        <v>44013</v>
      </c>
      <c r="C86" s="226">
        <f t="shared" si="23"/>
        <v>44048</v>
      </c>
      <c r="D86" s="226">
        <f t="shared" si="23"/>
        <v>44067</v>
      </c>
      <c r="E86" s="54" t="s">
        <v>9</v>
      </c>
      <c r="F86" s="163">
        <v>9</v>
      </c>
      <c r="G86" s="205">
        <v>42</v>
      </c>
      <c r="H86" s="206">
        <f t="shared" si="25"/>
        <v>8.6960185985294221</v>
      </c>
      <c r="I86" s="206">
        <f t="shared" si="20"/>
        <v>6.3097767616586076</v>
      </c>
      <c r="J86" s="207">
        <f t="shared" si="2"/>
        <v>265.0106239896615</v>
      </c>
      <c r="K86" s="214">
        <f t="shared" si="11"/>
        <v>365.23278113823574</v>
      </c>
      <c r="L86" s="213">
        <f t="shared" si="24"/>
        <v>-100.22215714857424</v>
      </c>
      <c r="M86" s="210">
        <f t="shared" si="26"/>
        <v>-3.3793550458475359</v>
      </c>
      <c r="N86" s="211">
        <f t="shared" si="27"/>
        <v>-103.60151219442177</v>
      </c>
      <c r="O86" s="210">
        <v>0</v>
      </c>
      <c r="P86" s="210">
        <v>0</v>
      </c>
      <c r="Q86" s="210">
        <v>0</v>
      </c>
      <c r="R86" s="211">
        <f t="shared" si="28"/>
        <v>-103.60151219442177</v>
      </c>
    </row>
    <row r="87" spans="1:18" x14ac:dyDescent="0.25">
      <c r="A87" s="163">
        <v>8</v>
      </c>
      <c r="B87" s="202">
        <f t="shared" si="4"/>
        <v>44044</v>
      </c>
      <c r="C87" s="226">
        <f t="shared" si="23"/>
        <v>44077</v>
      </c>
      <c r="D87" s="226">
        <f t="shared" si="23"/>
        <v>44098</v>
      </c>
      <c r="E87" s="54" t="s">
        <v>9</v>
      </c>
      <c r="F87" s="163">
        <v>9</v>
      </c>
      <c r="G87" s="205">
        <v>39</v>
      </c>
      <c r="H87" s="206">
        <f t="shared" si="25"/>
        <v>8.6960185985294221</v>
      </c>
      <c r="I87" s="206">
        <f t="shared" si="20"/>
        <v>6.3097767616586076</v>
      </c>
      <c r="J87" s="207">
        <f t="shared" si="2"/>
        <v>246.08129370468569</v>
      </c>
      <c r="K87" s="214">
        <f t="shared" si="11"/>
        <v>339.14472534264746</v>
      </c>
      <c r="L87" s="213">
        <f t="shared" si="24"/>
        <v>-93.06343163796177</v>
      </c>
      <c r="M87" s="210">
        <f t="shared" si="26"/>
        <v>-3.1379725425727121</v>
      </c>
      <c r="N87" s="211">
        <f t="shared" si="27"/>
        <v>-96.201404180534482</v>
      </c>
      <c r="O87" s="210">
        <v>0</v>
      </c>
      <c r="P87" s="210">
        <v>0</v>
      </c>
      <c r="Q87" s="210">
        <v>0</v>
      </c>
      <c r="R87" s="211">
        <f t="shared" si="28"/>
        <v>-96.201404180534482</v>
      </c>
    </row>
    <row r="88" spans="1:18" x14ac:dyDescent="0.25">
      <c r="A88" s="163">
        <v>9</v>
      </c>
      <c r="B88" s="202">
        <f t="shared" si="4"/>
        <v>44075</v>
      </c>
      <c r="C88" s="226">
        <f t="shared" si="23"/>
        <v>44109</v>
      </c>
      <c r="D88" s="226">
        <f t="shared" si="23"/>
        <v>44130</v>
      </c>
      <c r="E88" s="54" t="s">
        <v>9</v>
      </c>
      <c r="F88" s="163">
        <v>9</v>
      </c>
      <c r="G88" s="205">
        <v>36</v>
      </c>
      <c r="H88" s="206">
        <f t="shared" si="25"/>
        <v>8.6960185985294221</v>
      </c>
      <c r="I88" s="206">
        <f t="shared" si="20"/>
        <v>6.3097767616586076</v>
      </c>
      <c r="J88" s="207">
        <f t="shared" si="2"/>
        <v>227.15196341970989</v>
      </c>
      <c r="K88" s="214">
        <f t="shared" si="11"/>
        <v>313.05666954705919</v>
      </c>
      <c r="L88" s="213">
        <f t="shared" si="24"/>
        <v>-85.9047061273493</v>
      </c>
      <c r="M88" s="210">
        <f t="shared" si="26"/>
        <v>-2.8965900392978883</v>
      </c>
      <c r="N88" s="211">
        <f t="shared" si="27"/>
        <v>-88.801296166647191</v>
      </c>
      <c r="O88" s="210">
        <v>0</v>
      </c>
      <c r="P88" s="210">
        <v>0</v>
      </c>
      <c r="Q88" s="210">
        <v>0</v>
      </c>
      <c r="R88" s="211">
        <f t="shared" si="28"/>
        <v>-88.801296166647191</v>
      </c>
    </row>
    <row r="89" spans="1:18" x14ac:dyDescent="0.25">
      <c r="A89" s="125">
        <v>10</v>
      </c>
      <c r="B89" s="202">
        <f t="shared" si="4"/>
        <v>44105</v>
      </c>
      <c r="C89" s="226">
        <f t="shared" si="23"/>
        <v>44139</v>
      </c>
      <c r="D89" s="226">
        <f t="shared" si="23"/>
        <v>44159</v>
      </c>
      <c r="E89" s="54" t="s">
        <v>9</v>
      </c>
      <c r="F89" s="163">
        <v>9</v>
      </c>
      <c r="G89" s="205">
        <v>34</v>
      </c>
      <c r="H89" s="206">
        <f t="shared" si="25"/>
        <v>8.6960185985294221</v>
      </c>
      <c r="I89" s="206">
        <f t="shared" si="20"/>
        <v>6.3097767616586076</v>
      </c>
      <c r="J89" s="207">
        <f t="shared" si="2"/>
        <v>214.53240989639266</v>
      </c>
      <c r="K89" s="214">
        <f t="shared" si="11"/>
        <v>295.66463235000037</v>
      </c>
      <c r="L89" s="213">
        <f t="shared" si="24"/>
        <v>-81.13222245360771</v>
      </c>
      <c r="M89" s="210">
        <f t="shared" si="26"/>
        <v>-2.7356683704480056</v>
      </c>
      <c r="N89" s="211">
        <f t="shared" si="27"/>
        <v>-83.867890824055721</v>
      </c>
      <c r="O89" s="210">
        <v>0</v>
      </c>
      <c r="P89" s="210">
        <v>0</v>
      </c>
      <c r="Q89" s="210">
        <v>0</v>
      </c>
      <c r="R89" s="211">
        <f t="shared" si="28"/>
        <v>-83.867890824055721</v>
      </c>
    </row>
    <row r="90" spans="1:18" x14ac:dyDescent="0.25">
      <c r="A90" s="163">
        <v>11</v>
      </c>
      <c r="B90" s="202">
        <f t="shared" si="4"/>
        <v>44136</v>
      </c>
      <c r="C90" s="226">
        <f t="shared" si="23"/>
        <v>44168</v>
      </c>
      <c r="D90" s="226">
        <f t="shared" si="23"/>
        <v>44189</v>
      </c>
      <c r="E90" s="54" t="s">
        <v>9</v>
      </c>
      <c r="F90" s="163">
        <v>9</v>
      </c>
      <c r="G90" s="205">
        <v>37</v>
      </c>
      <c r="H90" s="206">
        <f t="shared" si="25"/>
        <v>8.6960185985294221</v>
      </c>
      <c r="I90" s="206">
        <f t="shared" si="20"/>
        <v>6.3097767616586076</v>
      </c>
      <c r="J90" s="207">
        <f t="shared" si="2"/>
        <v>233.46174018136847</v>
      </c>
      <c r="K90" s="214">
        <f t="shared" si="11"/>
        <v>321.75268814558859</v>
      </c>
      <c r="L90" s="213">
        <f t="shared" si="24"/>
        <v>-88.290947964220123</v>
      </c>
      <c r="M90" s="210">
        <f t="shared" si="26"/>
        <v>-2.9770508737228294</v>
      </c>
      <c r="N90" s="211">
        <f t="shared" si="27"/>
        <v>-91.267998837942955</v>
      </c>
      <c r="O90" s="210">
        <v>0</v>
      </c>
      <c r="P90" s="210">
        <v>0</v>
      </c>
      <c r="Q90" s="210">
        <v>0</v>
      </c>
      <c r="R90" s="211">
        <f t="shared" si="28"/>
        <v>-91.267998837942955</v>
      </c>
    </row>
    <row r="91" spans="1:18" s="230" customFormat="1" x14ac:dyDescent="0.25">
      <c r="A91" s="163">
        <v>12</v>
      </c>
      <c r="B91" s="228">
        <f t="shared" si="4"/>
        <v>44166</v>
      </c>
      <c r="C91" s="226">
        <f t="shared" si="23"/>
        <v>44202</v>
      </c>
      <c r="D91" s="226">
        <f t="shared" si="23"/>
        <v>44221</v>
      </c>
      <c r="E91" s="229" t="s">
        <v>9</v>
      </c>
      <c r="F91" s="174">
        <v>9</v>
      </c>
      <c r="G91" s="217">
        <v>41</v>
      </c>
      <c r="H91" s="218">
        <f t="shared" si="25"/>
        <v>8.6960185985294221</v>
      </c>
      <c r="I91" s="218">
        <f t="shared" si="20"/>
        <v>6.3097767616586076</v>
      </c>
      <c r="J91" s="219">
        <f t="shared" si="2"/>
        <v>258.70084722800289</v>
      </c>
      <c r="K91" s="220">
        <f t="shared" si="11"/>
        <v>356.53676253970633</v>
      </c>
      <c r="L91" s="221">
        <f t="shared" si="24"/>
        <v>-97.835915311703445</v>
      </c>
      <c r="M91" s="210">
        <f t="shared" si="26"/>
        <v>-3.2988942114225952</v>
      </c>
      <c r="N91" s="211">
        <f t="shared" si="27"/>
        <v>-101.13480952312604</v>
      </c>
      <c r="O91" s="210">
        <v>0</v>
      </c>
      <c r="P91" s="210">
        <v>0</v>
      </c>
      <c r="Q91" s="210">
        <v>0</v>
      </c>
      <c r="R91" s="211">
        <f t="shared" si="28"/>
        <v>-101.13480952312604</v>
      </c>
    </row>
    <row r="92" spans="1:18" x14ac:dyDescent="0.25">
      <c r="A92" s="125">
        <v>1</v>
      </c>
      <c r="B92" s="202">
        <f t="shared" si="4"/>
        <v>43831</v>
      </c>
      <c r="C92" s="223">
        <f t="shared" ref="C92:D95" si="29">+C80</f>
        <v>43866</v>
      </c>
      <c r="D92" s="223">
        <f t="shared" si="29"/>
        <v>43885</v>
      </c>
      <c r="E92" s="204" t="s">
        <v>8</v>
      </c>
      <c r="F92" s="125">
        <v>9</v>
      </c>
      <c r="G92" s="205">
        <v>76</v>
      </c>
      <c r="H92" s="206">
        <f t="shared" si="25"/>
        <v>8.6960185985294221</v>
      </c>
      <c r="I92" s="206">
        <f t="shared" si="20"/>
        <v>6.3097767616586076</v>
      </c>
      <c r="J92" s="207">
        <f t="shared" si="2"/>
        <v>479.54303388605416</v>
      </c>
      <c r="K92" s="208">
        <f t="shared" si="11"/>
        <v>660.89741348823611</v>
      </c>
      <c r="L92" s="209">
        <f t="shared" si="24"/>
        <v>-181.35437960218195</v>
      </c>
      <c r="M92" s="210">
        <f t="shared" si="26"/>
        <v>-6.1150234162955419</v>
      </c>
      <c r="N92" s="211">
        <f t="shared" si="27"/>
        <v>-187.46940301847749</v>
      </c>
      <c r="O92" s="210">
        <v>0</v>
      </c>
      <c r="P92" s="210">
        <v>0</v>
      </c>
      <c r="Q92" s="210">
        <v>0</v>
      </c>
      <c r="R92" s="211">
        <f t="shared" si="28"/>
        <v>-187.46940301847749</v>
      </c>
    </row>
    <row r="93" spans="1:18" x14ac:dyDescent="0.25">
      <c r="A93" s="163">
        <v>2</v>
      </c>
      <c r="B93" s="202">
        <f t="shared" si="4"/>
        <v>43862</v>
      </c>
      <c r="C93" s="226">
        <f t="shared" si="29"/>
        <v>43894</v>
      </c>
      <c r="D93" s="226">
        <f t="shared" si="29"/>
        <v>43914</v>
      </c>
      <c r="E93" s="212" t="s">
        <v>8</v>
      </c>
      <c r="F93" s="163">
        <v>9</v>
      </c>
      <c r="G93" s="205">
        <v>77</v>
      </c>
      <c r="H93" s="206">
        <f t="shared" si="25"/>
        <v>8.6960185985294221</v>
      </c>
      <c r="I93" s="206">
        <f t="shared" si="20"/>
        <v>6.3097767616586076</v>
      </c>
      <c r="J93" s="207">
        <f t="shared" si="2"/>
        <v>485.85281064771277</v>
      </c>
      <c r="K93" s="208">
        <f t="shared" si="11"/>
        <v>669.59343208676546</v>
      </c>
      <c r="L93" s="209">
        <f t="shared" si="24"/>
        <v>-183.74062143905269</v>
      </c>
      <c r="M93" s="210">
        <f t="shared" si="26"/>
        <v>-6.195484250720483</v>
      </c>
      <c r="N93" s="211">
        <f t="shared" si="27"/>
        <v>-189.93610568977317</v>
      </c>
      <c r="O93" s="210">
        <v>0</v>
      </c>
      <c r="P93" s="210">
        <v>0</v>
      </c>
      <c r="Q93" s="210">
        <v>0</v>
      </c>
      <c r="R93" s="211">
        <f t="shared" si="28"/>
        <v>-189.93610568977317</v>
      </c>
    </row>
    <row r="94" spans="1:18" x14ac:dyDescent="0.25">
      <c r="A94" s="163">
        <v>3</v>
      </c>
      <c r="B94" s="202">
        <f t="shared" si="4"/>
        <v>43891</v>
      </c>
      <c r="C94" s="226">
        <f t="shared" si="29"/>
        <v>43924</v>
      </c>
      <c r="D94" s="226">
        <f t="shared" si="29"/>
        <v>43945</v>
      </c>
      <c r="E94" s="212" t="s">
        <v>8</v>
      </c>
      <c r="F94" s="163">
        <v>9</v>
      </c>
      <c r="G94" s="205">
        <v>85</v>
      </c>
      <c r="H94" s="206">
        <f t="shared" si="25"/>
        <v>8.6960185985294221</v>
      </c>
      <c r="I94" s="206">
        <f t="shared" si="20"/>
        <v>6.3097767616586076</v>
      </c>
      <c r="J94" s="207">
        <f t="shared" si="2"/>
        <v>536.33102474098166</v>
      </c>
      <c r="K94" s="208">
        <f t="shared" ref="K94:K133" si="30">+$G94*H94</f>
        <v>739.16158087500082</v>
      </c>
      <c r="L94" s="209">
        <f>+J94-K94</f>
        <v>-202.83055613401916</v>
      </c>
      <c r="M94" s="210">
        <f t="shared" si="26"/>
        <v>-6.8391709261200138</v>
      </c>
      <c r="N94" s="211">
        <f t="shared" si="27"/>
        <v>-209.66972706013917</v>
      </c>
      <c r="O94" s="210">
        <v>0</v>
      </c>
      <c r="P94" s="210">
        <v>0</v>
      </c>
      <c r="Q94" s="210">
        <v>0</v>
      </c>
      <c r="R94" s="211">
        <f t="shared" si="28"/>
        <v>-209.66972706013917</v>
      </c>
    </row>
    <row r="95" spans="1:18" x14ac:dyDescent="0.25">
      <c r="A95" s="125">
        <v>4</v>
      </c>
      <c r="B95" s="202">
        <f t="shared" si="4"/>
        <v>43922</v>
      </c>
      <c r="C95" s="226">
        <f t="shared" si="29"/>
        <v>43956</v>
      </c>
      <c r="D95" s="226">
        <f t="shared" si="29"/>
        <v>43976</v>
      </c>
      <c r="E95" s="212" t="s">
        <v>8</v>
      </c>
      <c r="F95" s="163">
        <v>9</v>
      </c>
      <c r="G95" s="205">
        <v>82</v>
      </c>
      <c r="H95" s="206">
        <f t="shared" si="25"/>
        <v>8.6960185985294221</v>
      </c>
      <c r="I95" s="206">
        <f t="shared" si="20"/>
        <v>6.3097767616586076</v>
      </c>
      <c r="J95" s="207">
        <f t="shared" si="2"/>
        <v>517.40169445600577</v>
      </c>
      <c r="K95" s="208">
        <f t="shared" si="30"/>
        <v>713.07352507941266</v>
      </c>
      <c r="L95" s="209">
        <f t="shared" ref="L95:L105" si="31">+J95-K95</f>
        <v>-195.67183062340689</v>
      </c>
      <c r="M95" s="210">
        <f t="shared" si="26"/>
        <v>-6.5977884228451904</v>
      </c>
      <c r="N95" s="211">
        <f t="shared" si="27"/>
        <v>-202.26961904625207</v>
      </c>
      <c r="O95" s="210">
        <v>0</v>
      </c>
      <c r="P95" s="210">
        <v>0</v>
      </c>
      <c r="Q95" s="210">
        <v>0</v>
      </c>
      <c r="R95" s="211">
        <f t="shared" si="28"/>
        <v>-202.26961904625207</v>
      </c>
    </row>
    <row r="96" spans="1:18" x14ac:dyDescent="0.25">
      <c r="A96" s="163">
        <v>5</v>
      </c>
      <c r="B96" s="202">
        <f t="shared" si="4"/>
        <v>43952</v>
      </c>
      <c r="C96" s="226">
        <f t="shared" ref="C96:D116" si="32">+C84</f>
        <v>43985</v>
      </c>
      <c r="D96" s="226">
        <f t="shared" si="32"/>
        <v>44006</v>
      </c>
      <c r="E96" s="54" t="s">
        <v>8</v>
      </c>
      <c r="F96" s="163">
        <v>9</v>
      </c>
      <c r="G96" s="205">
        <v>117</v>
      </c>
      <c r="H96" s="206">
        <f t="shared" si="25"/>
        <v>8.6960185985294221</v>
      </c>
      <c r="I96" s="206">
        <f t="shared" si="20"/>
        <v>6.3097767616586076</v>
      </c>
      <c r="J96" s="207">
        <f t="shared" si="2"/>
        <v>738.2438811140571</v>
      </c>
      <c r="K96" s="208">
        <f t="shared" si="30"/>
        <v>1017.4341760279424</v>
      </c>
      <c r="L96" s="209">
        <f t="shared" si="31"/>
        <v>-279.19029491388528</v>
      </c>
      <c r="M96" s="210">
        <f t="shared" si="26"/>
        <v>-9.4139176277181367</v>
      </c>
      <c r="N96" s="211">
        <f t="shared" si="27"/>
        <v>-288.60421254160343</v>
      </c>
      <c r="O96" s="210">
        <v>0</v>
      </c>
      <c r="P96" s="210">
        <v>0</v>
      </c>
      <c r="Q96" s="210">
        <v>0</v>
      </c>
      <c r="R96" s="211">
        <f t="shared" si="28"/>
        <v>-288.60421254160343</v>
      </c>
    </row>
    <row r="97" spans="1:18" x14ac:dyDescent="0.25">
      <c r="A97" s="163">
        <v>6</v>
      </c>
      <c r="B97" s="202">
        <f t="shared" si="4"/>
        <v>43983</v>
      </c>
      <c r="C97" s="226">
        <f t="shared" si="32"/>
        <v>44015</v>
      </c>
      <c r="D97" s="226">
        <f t="shared" si="32"/>
        <v>44036</v>
      </c>
      <c r="E97" s="54" t="s">
        <v>8</v>
      </c>
      <c r="F97" s="163">
        <v>9</v>
      </c>
      <c r="G97" s="205">
        <v>131</v>
      </c>
      <c r="H97" s="206">
        <f t="shared" si="25"/>
        <v>8.6960185985294221</v>
      </c>
      <c r="I97" s="206">
        <f t="shared" si="20"/>
        <v>6.3097767616586076</v>
      </c>
      <c r="J97" s="207">
        <f t="shared" si="2"/>
        <v>826.58075577727755</v>
      </c>
      <c r="K97" s="208">
        <f t="shared" si="30"/>
        <v>1139.1784364073542</v>
      </c>
      <c r="L97" s="213">
        <f t="shared" si="31"/>
        <v>-312.59768063007664</v>
      </c>
      <c r="M97" s="210">
        <f t="shared" si="26"/>
        <v>-10.540369309667316</v>
      </c>
      <c r="N97" s="211">
        <f t="shared" si="27"/>
        <v>-323.13804993974395</v>
      </c>
      <c r="O97" s="210">
        <v>0</v>
      </c>
      <c r="P97" s="210">
        <v>0</v>
      </c>
      <c r="Q97" s="210">
        <v>0</v>
      </c>
      <c r="R97" s="211">
        <f t="shared" si="28"/>
        <v>-323.13804993974395</v>
      </c>
    </row>
    <row r="98" spans="1:18" x14ac:dyDescent="0.25">
      <c r="A98" s="125">
        <v>7</v>
      </c>
      <c r="B98" s="202">
        <f t="shared" si="4"/>
        <v>44013</v>
      </c>
      <c r="C98" s="226">
        <f t="shared" si="32"/>
        <v>44048</v>
      </c>
      <c r="D98" s="226">
        <f t="shared" si="32"/>
        <v>44067</v>
      </c>
      <c r="E98" s="54" t="s">
        <v>8</v>
      </c>
      <c r="F98" s="163">
        <v>9</v>
      </c>
      <c r="G98" s="205">
        <v>147</v>
      </c>
      <c r="H98" s="206">
        <f t="shared" si="25"/>
        <v>8.6960185985294221</v>
      </c>
      <c r="I98" s="206">
        <f t="shared" si="20"/>
        <v>6.3097767616586076</v>
      </c>
      <c r="J98" s="207">
        <f t="shared" si="2"/>
        <v>927.53718396381532</v>
      </c>
      <c r="K98" s="214">
        <f t="shared" si="30"/>
        <v>1278.3147339838251</v>
      </c>
      <c r="L98" s="213">
        <f t="shared" si="31"/>
        <v>-350.77755002000981</v>
      </c>
      <c r="M98" s="210">
        <f t="shared" si="26"/>
        <v>-11.827742660466377</v>
      </c>
      <c r="N98" s="211">
        <f t="shared" si="27"/>
        <v>-362.60529268047617</v>
      </c>
      <c r="O98" s="210">
        <v>0</v>
      </c>
      <c r="P98" s="210">
        <v>0</v>
      </c>
      <c r="Q98" s="210">
        <v>0</v>
      </c>
      <c r="R98" s="211">
        <f t="shared" si="28"/>
        <v>-362.60529268047617</v>
      </c>
    </row>
    <row r="99" spans="1:18" x14ac:dyDescent="0.25">
      <c r="A99" s="163">
        <v>8</v>
      </c>
      <c r="B99" s="202">
        <f t="shared" si="4"/>
        <v>44044</v>
      </c>
      <c r="C99" s="226">
        <f t="shared" si="32"/>
        <v>44077</v>
      </c>
      <c r="D99" s="226">
        <f t="shared" si="32"/>
        <v>44098</v>
      </c>
      <c r="E99" s="54" t="s">
        <v>8</v>
      </c>
      <c r="F99" s="163">
        <v>9</v>
      </c>
      <c r="G99" s="205">
        <v>141</v>
      </c>
      <c r="H99" s="206">
        <f t="shared" si="25"/>
        <v>8.6960185985294221</v>
      </c>
      <c r="I99" s="206">
        <f t="shared" si="20"/>
        <v>6.3097767616586076</v>
      </c>
      <c r="J99" s="207">
        <f t="shared" si="2"/>
        <v>889.67852339386366</v>
      </c>
      <c r="K99" s="214">
        <f t="shared" si="30"/>
        <v>1226.1386223926486</v>
      </c>
      <c r="L99" s="213">
        <f t="shared" si="31"/>
        <v>-336.46009899878493</v>
      </c>
      <c r="M99" s="210">
        <f t="shared" si="26"/>
        <v>-11.344977653916729</v>
      </c>
      <c r="N99" s="211">
        <f t="shared" si="27"/>
        <v>-347.80507665270164</v>
      </c>
      <c r="O99" s="210">
        <v>0</v>
      </c>
      <c r="P99" s="210">
        <v>0</v>
      </c>
      <c r="Q99" s="210">
        <v>0</v>
      </c>
      <c r="R99" s="211">
        <f t="shared" si="28"/>
        <v>-347.80507665270164</v>
      </c>
    </row>
    <row r="100" spans="1:18" x14ac:dyDescent="0.25">
      <c r="A100" s="163">
        <v>9</v>
      </c>
      <c r="B100" s="202">
        <f t="shared" si="4"/>
        <v>44075</v>
      </c>
      <c r="C100" s="226">
        <f t="shared" si="32"/>
        <v>44109</v>
      </c>
      <c r="D100" s="226">
        <f t="shared" si="32"/>
        <v>44130</v>
      </c>
      <c r="E100" s="54" t="s">
        <v>8</v>
      </c>
      <c r="F100" s="163">
        <v>9</v>
      </c>
      <c r="G100" s="205">
        <v>111</v>
      </c>
      <c r="H100" s="206">
        <f t="shared" si="25"/>
        <v>8.6960185985294221</v>
      </c>
      <c r="I100" s="206">
        <f t="shared" si="20"/>
        <v>6.3097767616586076</v>
      </c>
      <c r="J100" s="207">
        <f t="shared" si="2"/>
        <v>700.38522054410544</v>
      </c>
      <c r="K100" s="214">
        <f t="shared" si="30"/>
        <v>965.25806443676584</v>
      </c>
      <c r="L100" s="213">
        <f t="shared" si="31"/>
        <v>-264.8728438926604</v>
      </c>
      <c r="M100" s="210">
        <f t="shared" si="26"/>
        <v>-8.9311526211684882</v>
      </c>
      <c r="N100" s="211">
        <f t="shared" si="27"/>
        <v>-273.80399651382891</v>
      </c>
      <c r="O100" s="210">
        <v>0</v>
      </c>
      <c r="P100" s="210">
        <v>0</v>
      </c>
      <c r="Q100" s="210">
        <v>0</v>
      </c>
      <c r="R100" s="211">
        <f t="shared" si="28"/>
        <v>-273.80399651382891</v>
      </c>
    </row>
    <row r="101" spans="1:18" x14ac:dyDescent="0.25">
      <c r="A101" s="125">
        <v>10</v>
      </c>
      <c r="B101" s="202">
        <f t="shared" si="4"/>
        <v>44105</v>
      </c>
      <c r="C101" s="226">
        <f t="shared" si="32"/>
        <v>44139</v>
      </c>
      <c r="D101" s="226">
        <f t="shared" si="32"/>
        <v>44159</v>
      </c>
      <c r="E101" s="54" t="s">
        <v>8</v>
      </c>
      <c r="F101" s="163">
        <v>9</v>
      </c>
      <c r="G101" s="205">
        <v>98</v>
      </c>
      <c r="H101" s="206">
        <f t="shared" si="25"/>
        <v>8.6960185985294221</v>
      </c>
      <c r="I101" s="206">
        <f t="shared" si="20"/>
        <v>6.3097767616586076</v>
      </c>
      <c r="J101" s="207">
        <f t="shared" si="2"/>
        <v>618.35812264254355</v>
      </c>
      <c r="K101" s="214">
        <f t="shared" si="30"/>
        <v>852.20982265588339</v>
      </c>
      <c r="L101" s="213">
        <f t="shared" si="31"/>
        <v>-233.85170001333984</v>
      </c>
      <c r="M101" s="210">
        <f t="shared" si="26"/>
        <v>-7.885161773644251</v>
      </c>
      <c r="N101" s="211">
        <f t="shared" si="27"/>
        <v>-241.73686178698409</v>
      </c>
      <c r="O101" s="210">
        <v>0</v>
      </c>
      <c r="P101" s="210">
        <v>0</v>
      </c>
      <c r="Q101" s="210">
        <v>0</v>
      </c>
      <c r="R101" s="211">
        <f t="shared" si="28"/>
        <v>-241.73686178698409</v>
      </c>
    </row>
    <row r="102" spans="1:18" x14ac:dyDescent="0.25">
      <c r="A102" s="163">
        <v>11</v>
      </c>
      <c r="B102" s="202">
        <f t="shared" si="4"/>
        <v>44136</v>
      </c>
      <c r="C102" s="226">
        <f t="shared" si="32"/>
        <v>44168</v>
      </c>
      <c r="D102" s="226">
        <f t="shared" si="32"/>
        <v>44189</v>
      </c>
      <c r="E102" s="54" t="s">
        <v>8</v>
      </c>
      <c r="F102" s="163">
        <v>9</v>
      </c>
      <c r="G102" s="205">
        <v>74</v>
      </c>
      <c r="H102" s="206">
        <f t="shared" si="25"/>
        <v>8.6960185985294221</v>
      </c>
      <c r="I102" s="206">
        <f t="shared" si="20"/>
        <v>6.3097767616586076</v>
      </c>
      <c r="J102" s="207">
        <f t="shared" si="2"/>
        <v>466.92348036273694</v>
      </c>
      <c r="K102" s="214">
        <f t="shared" si="30"/>
        <v>643.50537629117719</v>
      </c>
      <c r="L102" s="213">
        <f t="shared" si="31"/>
        <v>-176.58189592844025</v>
      </c>
      <c r="M102" s="210">
        <f t="shared" si="26"/>
        <v>-5.9541017474456588</v>
      </c>
      <c r="N102" s="211">
        <f t="shared" si="27"/>
        <v>-182.53599767588591</v>
      </c>
      <c r="O102" s="210">
        <v>0</v>
      </c>
      <c r="P102" s="210">
        <v>0</v>
      </c>
      <c r="Q102" s="210">
        <v>0</v>
      </c>
      <c r="R102" s="211">
        <f t="shared" si="28"/>
        <v>-182.53599767588591</v>
      </c>
    </row>
    <row r="103" spans="1:18" s="230" customFormat="1" x14ac:dyDescent="0.25">
      <c r="A103" s="163">
        <v>12</v>
      </c>
      <c r="B103" s="228">
        <f t="shared" si="4"/>
        <v>44166</v>
      </c>
      <c r="C103" s="226">
        <f t="shared" si="32"/>
        <v>44202</v>
      </c>
      <c r="D103" s="226">
        <f t="shared" si="32"/>
        <v>44221</v>
      </c>
      <c r="E103" s="229" t="s">
        <v>8</v>
      </c>
      <c r="F103" s="174">
        <v>9</v>
      </c>
      <c r="G103" s="217">
        <v>78</v>
      </c>
      <c r="H103" s="218">
        <f t="shared" si="25"/>
        <v>8.6960185985294221</v>
      </c>
      <c r="I103" s="218">
        <f t="shared" si="20"/>
        <v>6.3097767616586076</v>
      </c>
      <c r="J103" s="219">
        <f t="shared" si="2"/>
        <v>492.16258740937138</v>
      </c>
      <c r="K103" s="220">
        <f t="shared" si="30"/>
        <v>678.28945068529492</v>
      </c>
      <c r="L103" s="221">
        <f t="shared" si="31"/>
        <v>-186.12686327592354</v>
      </c>
      <c r="M103" s="210">
        <f t="shared" si="26"/>
        <v>-6.2759450851454242</v>
      </c>
      <c r="N103" s="211">
        <f t="shared" si="27"/>
        <v>-192.40280836106896</v>
      </c>
      <c r="O103" s="210">
        <v>0</v>
      </c>
      <c r="P103" s="210">
        <v>0</v>
      </c>
      <c r="Q103" s="210">
        <v>0</v>
      </c>
      <c r="R103" s="211">
        <f t="shared" si="28"/>
        <v>-192.40280836106896</v>
      </c>
    </row>
    <row r="104" spans="1:18" x14ac:dyDescent="0.25">
      <c r="A104" s="125">
        <v>1</v>
      </c>
      <c r="B104" s="202">
        <f t="shared" si="4"/>
        <v>43831</v>
      </c>
      <c r="C104" s="223">
        <f t="shared" si="32"/>
        <v>43866</v>
      </c>
      <c r="D104" s="223">
        <f t="shared" si="32"/>
        <v>43885</v>
      </c>
      <c r="E104" s="204" t="s">
        <v>19</v>
      </c>
      <c r="F104" s="125">
        <v>9</v>
      </c>
      <c r="G104" s="205">
        <v>39</v>
      </c>
      <c r="H104" s="206">
        <f t="shared" si="25"/>
        <v>8.6960185985294221</v>
      </c>
      <c r="I104" s="206">
        <f t="shared" si="20"/>
        <v>6.3097767616586076</v>
      </c>
      <c r="J104" s="207">
        <f t="shared" si="2"/>
        <v>246.08129370468569</v>
      </c>
      <c r="K104" s="208">
        <f t="shared" si="30"/>
        <v>339.14472534264746</v>
      </c>
      <c r="L104" s="209">
        <f t="shared" si="31"/>
        <v>-93.06343163796177</v>
      </c>
      <c r="M104" s="210">
        <f t="shared" si="26"/>
        <v>-3.1379725425727121</v>
      </c>
      <c r="N104" s="211">
        <f t="shared" si="27"/>
        <v>-96.201404180534482</v>
      </c>
      <c r="O104" s="210">
        <v>0</v>
      </c>
      <c r="P104" s="210">
        <v>0</v>
      </c>
      <c r="Q104" s="210">
        <v>0</v>
      </c>
      <c r="R104" s="211">
        <f t="shared" si="28"/>
        <v>-96.201404180534482</v>
      </c>
    </row>
    <row r="105" spans="1:18" x14ac:dyDescent="0.25">
      <c r="A105" s="163">
        <v>2</v>
      </c>
      <c r="B105" s="202">
        <f t="shared" si="4"/>
        <v>43862</v>
      </c>
      <c r="C105" s="226">
        <f t="shared" si="32"/>
        <v>43894</v>
      </c>
      <c r="D105" s="226">
        <f t="shared" si="32"/>
        <v>43914</v>
      </c>
      <c r="E105" s="212" t="s">
        <v>19</v>
      </c>
      <c r="F105" s="163">
        <v>9</v>
      </c>
      <c r="G105" s="205">
        <v>41</v>
      </c>
      <c r="H105" s="206">
        <f t="shared" si="25"/>
        <v>8.6960185985294221</v>
      </c>
      <c r="I105" s="206">
        <f t="shared" si="20"/>
        <v>6.3097767616586076</v>
      </c>
      <c r="J105" s="207">
        <f t="shared" si="2"/>
        <v>258.70084722800289</v>
      </c>
      <c r="K105" s="208">
        <f t="shared" si="30"/>
        <v>356.53676253970633</v>
      </c>
      <c r="L105" s="209">
        <f t="shared" si="31"/>
        <v>-97.835915311703445</v>
      </c>
      <c r="M105" s="210">
        <f t="shared" si="26"/>
        <v>-3.2988942114225952</v>
      </c>
      <c r="N105" s="211">
        <f t="shared" si="27"/>
        <v>-101.13480952312604</v>
      </c>
      <c r="O105" s="210">
        <v>0</v>
      </c>
      <c r="P105" s="210">
        <v>0</v>
      </c>
      <c r="Q105" s="210">
        <v>0</v>
      </c>
      <c r="R105" s="211">
        <f t="shared" si="28"/>
        <v>-101.13480952312604</v>
      </c>
    </row>
    <row r="106" spans="1:18" x14ac:dyDescent="0.25">
      <c r="A106" s="163">
        <v>3</v>
      </c>
      <c r="B106" s="202">
        <f t="shared" si="4"/>
        <v>43891</v>
      </c>
      <c r="C106" s="226">
        <f t="shared" si="32"/>
        <v>43924</v>
      </c>
      <c r="D106" s="226">
        <f t="shared" si="32"/>
        <v>43945</v>
      </c>
      <c r="E106" s="212" t="s">
        <v>19</v>
      </c>
      <c r="F106" s="163">
        <v>9</v>
      </c>
      <c r="G106" s="205">
        <v>36</v>
      </c>
      <c r="H106" s="206">
        <f t="shared" si="25"/>
        <v>8.6960185985294221</v>
      </c>
      <c r="I106" s="206">
        <f t="shared" si="20"/>
        <v>6.3097767616586076</v>
      </c>
      <c r="J106" s="207">
        <f t="shared" si="2"/>
        <v>227.15196341970989</v>
      </c>
      <c r="K106" s="208">
        <f t="shared" si="30"/>
        <v>313.05666954705919</v>
      </c>
      <c r="L106" s="209">
        <f>+J106-K106</f>
        <v>-85.9047061273493</v>
      </c>
      <c r="M106" s="210">
        <f t="shared" si="26"/>
        <v>-2.8965900392978883</v>
      </c>
      <c r="N106" s="211">
        <f t="shared" si="27"/>
        <v>-88.801296166647191</v>
      </c>
      <c r="O106" s="210">
        <v>0</v>
      </c>
      <c r="P106" s="210">
        <v>0</v>
      </c>
      <c r="Q106" s="210">
        <v>0</v>
      </c>
      <c r="R106" s="211">
        <f t="shared" si="28"/>
        <v>-88.801296166647191</v>
      </c>
    </row>
    <row r="107" spans="1:18" x14ac:dyDescent="0.25">
      <c r="A107" s="125">
        <v>4</v>
      </c>
      <c r="B107" s="202">
        <f t="shared" si="4"/>
        <v>43922</v>
      </c>
      <c r="C107" s="226">
        <f t="shared" si="32"/>
        <v>43956</v>
      </c>
      <c r="D107" s="226">
        <f t="shared" si="32"/>
        <v>43976</v>
      </c>
      <c r="E107" s="54" t="s">
        <v>19</v>
      </c>
      <c r="F107" s="163">
        <v>9</v>
      </c>
      <c r="G107" s="205">
        <v>31</v>
      </c>
      <c r="H107" s="206">
        <f t="shared" si="25"/>
        <v>8.6960185985294221</v>
      </c>
      <c r="I107" s="206">
        <f t="shared" si="20"/>
        <v>6.3097767616586076</v>
      </c>
      <c r="J107" s="207">
        <f t="shared" si="2"/>
        <v>195.60307961141683</v>
      </c>
      <c r="K107" s="208">
        <f t="shared" si="30"/>
        <v>269.5765765544121</v>
      </c>
      <c r="L107" s="209">
        <f t="shared" ref="L107:L115" si="33">+J107-K107</f>
        <v>-73.973496942995268</v>
      </c>
      <c r="M107" s="210">
        <f t="shared" si="26"/>
        <v>-2.4942858671731813</v>
      </c>
      <c r="N107" s="211">
        <f t="shared" si="27"/>
        <v>-76.467782810168444</v>
      </c>
      <c r="O107" s="210">
        <v>0</v>
      </c>
      <c r="P107" s="210">
        <v>0</v>
      </c>
      <c r="Q107" s="210">
        <v>0</v>
      </c>
      <c r="R107" s="211">
        <f t="shared" si="28"/>
        <v>-76.467782810168444</v>
      </c>
    </row>
    <row r="108" spans="1:18" x14ac:dyDescent="0.25">
      <c r="A108" s="163">
        <v>5</v>
      </c>
      <c r="B108" s="202">
        <f t="shared" si="4"/>
        <v>43952</v>
      </c>
      <c r="C108" s="226">
        <f t="shared" si="32"/>
        <v>43985</v>
      </c>
      <c r="D108" s="226">
        <f t="shared" si="32"/>
        <v>44006</v>
      </c>
      <c r="E108" s="54" t="s">
        <v>19</v>
      </c>
      <c r="F108" s="163">
        <v>9</v>
      </c>
      <c r="G108" s="205">
        <v>32</v>
      </c>
      <c r="H108" s="206">
        <f t="shared" si="25"/>
        <v>8.6960185985294221</v>
      </c>
      <c r="I108" s="206">
        <f t="shared" ref="I108:I127" si="34">$J$3</f>
        <v>6.3097767616586076</v>
      </c>
      <c r="J108" s="207">
        <f t="shared" si="2"/>
        <v>201.91285637307544</v>
      </c>
      <c r="K108" s="208">
        <f t="shared" si="30"/>
        <v>278.27259515294151</v>
      </c>
      <c r="L108" s="209">
        <f t="shared" si="33"/>
        <v>-76.359738779866063</v>
      </c>
      <c r="M108" s="210">
        <f t="shared" si="26"/>
        <v>-2.5747467015981229</v>
      </c>
      <c r="N108" s="211">
        <f t="shared" si="27"/>
        <v>-78.934485481464179</v>
      </c>
      <c r="O108" s="210">
        <v>0</v>
      </c>
      <c r="P108" s="210">
        <v>0</v>
      </c>
      <c r="Q108" s="210">
        <v>0</v>
      </c>
      <c r="R108" s="211">
        <f t="shared" si="28"/>
        <v>-78.934485481464179</v>
      </c>
    </row>
    <row r="109" spans="1:18" x14ac:dyDescent="0.25">
      <c r="A109" s="163">
        <v>6</v>
      </c>
      <c r="B109" s="202">
        <f t="shared" ref="B109:B148" si="35">DATE($R$1,A109,1)</f>
        <v>43983</v>
      </c>
      <c r="C109" s="226">
        <f t="shared" si="32"/>
        <v>44015</v>
      </c>
      <c r="D109" s="226">
        <f t="shared" si="32"/>
        <v>44036</v>
      </c>
      <c r="E109" s="54" t="s">
        <v>19</v>
      </c>
      <c r="F109" s="163">
        <v>9</v>
      </c>
      <c r="G109" s="205">
        <v>39</v>
      </c>
      <c r="H109" s="206">
        <f t="shared" si="25"/>
        <v>8.6960185985294221</v>
      </c>
      <c r="I109" s="206">
        <f t="shared" si="34"/>
        <v>6.3097767616586076</v>
      </c>
      <c r="J109" s="207">
        <f t="shared" ref="J109:J148" si="36">+$G109*I109</f>
        <v>246.08129370468569</v>
      </c>
      <c r="K109" s="208">
        <f t="shared" si="30"/>
        <v>339.14472534264746</v>
      </c>
      <c r="L109" s="213">
        <f t="shared" si="33"/>
        <v>-93.06343163796177</v>
      </c>
      <c r="M109" s="210">
        <f t="shared" si="26"/>
        <v>-3.1379725425727121</v>
      </c>
      <c r="N109" s="211">
        <f t="shared" si="27"/>
        <v>-96.201404180534482</v>
      </c>
      <c r="O109" s="210">
        <v>0</v>
      </c>
      <c r="P109" s="210">
        <v>0</v>
      </c>
      <c r="Q109" s="210">
        <v>0</v>
      </c>
      <c r="R109" s="211">
        <f t="shared" si="28"/>
        <v>-96.201404180534482</v>
      </c>
    </row>
    <row r="110" spans="1:18" x14ac:dyDescent="0.25">
      <c r="A110" s="125">
        <v>7</v>
      </c>
      <c r="B110" s="202">
        <f t="shared" si="35"/>
        <v>44013</v>
      </c>
      <c r="C110" s="226">
        <f t="shared" si="32"/>
        <v>44048</v>
      </c>
      <c r="D110" s="226">
        <f t="shared" si="32"/>
        <v>44067</v>
      </c>
      <c r="E110" s="54" t="s">
        <v>19</v>
      </c>
      <c r="F110" s="163">
        <v>9</v>
      </c>
      <c r="G110" s="205">
        <v>44</v>
      </c>
      <c r="H110" s="206">
        <f t="shared" si="25"/>
        <v>8.6960185985294221</v>
      </c>
      <c r="I110" s="206">
        <f t="shared" si="34"/>
        <v>6.3097767616586076</v>
      </c>
      <c r="J110" s="207">
        <f t="shared" si="36"/>
        <v>277.63017751297872</v>
      </c>
      <c r="K110" s="214">
        <f t="shared" si="30"/>
        <v>382.62481833529455</v>
      </c>
      <c r="L110" s="213">
        <f t="shared" si="33"/>
        <v>-104.99464082231583</v>
      </c>
      <c r="M110" s="210">
        <f t="shared" si="26"/>
        <v>-3.540276714697419</v>
      </c>
      <c r="N110" s="211">
        <f t="shared" si="27"/>
        <v>-108.53491753701324</v>
      </c>
      <c r="O110" s="210">
        <v>0</v>
      </c>
      <c r="P110" s="210">
        <v>0</v>
      </c>
      <c r="Q110" s="210">
        <v>0</v>
      </c>
      <c r="R110" s="211">
        <f t="shared" si="28"/>
        <v>-108.53491753701324</v>
      </c>
    </row>
    <row r="111" spans="1:18" x14ac:dyDescent="0.25">
      <c r="A111" s="163">
        <v>8</v>
      </c>
      <c r="B111" s="202">
        <f t="shared" si="35"/>
        <v>44044</v>
      </c>
      <c r="C111" s="226">
        <f t="shared" si="32"/>
        <v>44077</v>
      </c>
      <c r="D111" s="226">
        <f t="shared" si="32"/>
        <v>44098</v>
      </c>
      <c r="E111" s="54" t="s">
        <v>19</v>
      </c>
      <c r="F111" s="163">
        <v>9</v>
      </c>
      <c r="G111" s="205">
        <v>38</v>
      </c>
      <c r="H111" s="206">
        <f t="shared" si="25"/>
        <v>8.6960185985294221</v>
      </c>
      <c r="I111" s="206">
        <f t="shared" si="34"/>
        <v>6.3097767616586076</v>
      </c>
      <c r="J111" s="207">
        <f t="shared" si="36"/>
        <v>239.77151694302708</v>
      </c>
      <c r="K111" s="214">
        <f t="shared" si="30"/>
        <v>330.44870674411806</v>
      </c>
      <c r="L111" s="213">
        <f t="shared" si="33"/>
        <v>-90.677189801090975</v>
      </c>
      <c r="M111" s="210">
        <f t="shared" si="26"/>
        <v>-3.057511708147771</v>
      </c>
      <c r="N111" s="211">
        <f t="shared" si="27"/>
        <v>-93.734701509238747</v>
      </c>
      <c r="O111" s="210">
        <v>0</v>
      </c>
      <c r="P111" s="210">
        <v>0</v>
      </c>
      <c r="Q111" s="210">
        <v>0</v>
      </c>
      <c r="R111" s="211">
        <f t="shared" si="28"/>
        <v>-93.734701509238747</v>
      </c>
    </row>
    <row r="112" spans="1:18" x14ac:dyDescent="0.25">
      <c r="A112" s="163">
        <v>9</v>
      </c>
      <c r="B112" s="202">
        <f t="shared" si="35"/>
        <v>44075</v>
      </c>
      <c r="C112" s="226">
        <f t="shared" si="32"/>
        <v>44109</v>
      </c>
      <c r="D112" s="226">
        <f t="shared" si="32"/>
        <v>44130</v>
      </c>
      <c r="E112" s="54" t="s">
        <v>19</v>
      </c>
      <c r="F112" s="163">
        <v>9</v>
      </c>
      <c r="G112" s="205">
        <v>41</v>
      </c>
      <c r="H112" s="206">
        <f t="shared" si="25"/>
        <v>8.6960185985294221</v>
      </c>
      <c r="I112" s="206">
        <f t="shared" si="34"/>
        <v>6.3097767616586076</v>
      </c>
      <c r="J112" s="207">
        <f t="shared" si="36"/>
        <v>258.70084722800289</v>
      </c>
      <c r="K112" s="214">
        <f t="shared" si="30"/>
        <v>356.53676253970633</v>
      </c>
      <c r="L112" s="213">
        <f t="shared" si="33"/>
        <v>-97.835915311703445</v>
      </c>
      <c r="M112" s="210">
        <f t="shared" si="26"/>
        <v>-3.2988942114225952</v>
      </c>
      <c r="N112" s="211">
        <f t="shared" si="27"/>
        <v>-101.13480952312604</v>
      </c>
      <c r="O112" s="210">
        <v>0</v>
      </c>
      <c r="P112" s="210">
        <v>0</v>
      </c>
      <c r="Q112" s="210">
        <v>0</v>
      </c>
      <c r="R112" s="211">
        <f t="shared" si="28"/>
        <v>-101.13480952312604</v>
      </c>
    </row>
    <row r="113" spans="1:18" x14ac:dyDescent="0.25">
      <c r="A113" s="125">
        <v>10</v>
      </c>
      <c r="B113" s="202">
        <f t="shared" si="35"/>
        <v>44105</v>
      </c>
      <c r="C113" s="226">
        <f t="shared" si="32"/>
        <v>44139</v>
      </c>
      <c r="D113" s="226">
        <f t="shared" si="32"/>
        <v>44159</v>
      </c>
      <c r="E113" s="54" t="s">
        <v>19</v>
      </c>
      <c r="F113" s="163">
        <v>9</v>
      </c>
      <c r="G113" s="205">
        <v>42</v>
      </c>
      <c r="H113" s="206">
        <f t="shared" si="25"/>
        <v>8.6960185985294221</v>
      </c>
      <c r="I113" s="206">
        <f t="shared" si="34"/>
        <v>6.3097767616586076</v>
      </c>
      <c r="J113" s="207">
        <f t="shared" si="36"/>
        <v>265.0106239896615</v>
      </c>
      <c r="K113" s="214">
        <f t="shared" si="30"/>
        <v>365.23278113823574</v>
      </c>
      <c r="L113" s="213">
        <f t="shared" si="33"/>
        <v>-100.22215714857424</v>
      </c>
      <c r="M113" s="210">
        <f t="shared" si="26"/>
        <v>-3.3793550458475359</v>
      </c>
      <c r="N113" s="211">
        <f t="shared" si="27"/>
        <v>-103.60151219442177</v>
      </c>
      <c r="O113" s="210">
        <v>0</v>
      </c>
      <c r="P113" s="210">
        <v>0</v>
      </c>
      <c r="Q113" s="210">
        <v>0</v>
      </c>
      <c r="R113" s="211">
        <f t="shared" si="28"/>
        <v>-103.60151219442177</v>
      </c>
    </row>
    <row r="114" spans="1:18" x14ac:dyDescent="0.25">
      <c r="A114" s="163">
        <v>11</v>
      </c>
      <c r="B114" s="202">
        <f t="shared" si="35"/>
        <v>44136</v>
      </c>
      <c r="C114" s="226">
        <f t="shared" si="32"/>
        <v>44168</v>
      </c>
      <c r="D114" s="226">
        <f t="shared" si="32"/>
        <v>44189</v>
      </c>
      <c r="E114" s="54" t="s">
        <v>19</v>
      </c>
      <c r="F114" s="163">
        <v>9</v>
      </c>
      <c r="G114" s="205">
        <v>45</v>
      </c>
      <c r="H114" s="206">
        <f t="shared" si="25"/>
        <v>8.6960185985294221</v>
      </c>
      <c r="I114" s="206">
        <f t="shared" si="34"/>
        <v>6.3097767616586076</v>
      </c>
      <c r="J114" s="207">
        <f t="shared" si="36"/>
        <v>283.93995427463733</v>
      </c>
      <c r="K114" s="214">
        <f t="shared" si="30"/>
        <v>391.32083693382401</v>
      </c>
      <c r="L114" s="213">
        <f t="shared" si="33"/>
        <v>-107.38088265918668</v>
      </c>
      <c r="M114" s="210">
        <f t="shared" si="26"/>
        <v>-3.6207375491223606</v>
      </c>
      <c r="N114" s="211">
        <f t="shared" si="27"/>
        <v>-111.00162020830905</v>
      </c>
      <c r="O114" s="210">
        <v>0</v>
      </c>
      <c r="P114" s="210">
        <v>0</v>
      </c>
      <c r="Q114" s="210">
        <v>0</v>
      </c>
      <c r="R114" s="211">
        <f t="shared" si="28"/>
        <v>-111.00162020830905</v>
      </c>
    </row>
    <row r="115" spans="1:18" s="230" customFormat="1" x14ac:dyDescent="0.25">
      <c r="A115" s="163">
        <v>12</v>
      </c>
      <c r="B115" s="228">
        <f t="shared" si="35"/>
        <v>44166</v>
      </c>
      <c r="C115" s="231">
        <f t="shared" si="32"/>
        <v>44202</v>
      </c>
      <c r="D115" s="231">
        <f t="shared" si="32"/>
        <v>44221</v>
      </c>
      <c r="E115" s="229" t="s">
        <v>19</v>
      </c>
      <c r="F115" s="174">
        <v>9</v>
      </c>
      <c r="G115" s="217">
        <v>43</v>
      </c>
      <c r="H115" s="218">
        <f t="shared" si="25"/>
        <v>8.6960185985294221</v>
      </c>
      <c r="I115" s="218">
        <f t="shared" si="34"/>
        <v>6.3097767616586076</v>
      </c>
      <c r="J115" s="219">
        <f t="shared" si="36"/>
        <v>271.32040075132011</v>
      </c>
      <c r="K115" s="220">
        <f t="shared" si="30"/>
        <v>373.92879973676514</v>
      </c>
      <c r="L115" s="221">
        <f t="shared" si="33"/>
        <v>-102.60839898544504</v>
      </c>
      <c r="M115" s="210">
        <f t="shared" si="26"/>
        <v>-3.4598158802724774</v>
      </c>
      <c r="N115" s="211">
        <f t="shared" si="27"/>
        <v>-106.06821486571751</v>
      </c>
      <c r="O115" s="210">
        <v>0</v>
      </c>
      <c r="P115" s="210">
        <v>0</v>
      </c>
      <c r="Q115" s="210">
        <v>0</v>
      </c>
      <c r="R115" s="211">
        <f t="shared" si="28"/>
        <v>-106.06821486571751</v>
      </c>
    </row>
    <row r="116" spans="1:18" x14ac:dyDescent="0.25">
      <c r="A116" s="125">
        <v>1</v>
      </c>
      <c r="B116" s="202">
        <f t="shared" si="35"/>
        <v>43831</v>
      </c>
      <c r="C116" s="226">
        <f t="shared" si="32"/>
        <v>43866</v>
      </c>
      <c r="D116" s="226">
        <f t="shared" si="32"/>
        <v>43885</v>
      </c>
      <c r="E116" s="204" t="s">
        <v>13</v>
      </c>
      <c r="F116" s="125">
        <v>9</v>
      </c>
      <c r="G116" s="205">
        <v>973</v>
      </c>
      <c r="H116" s="206">
        <f t="shared" si="25"/>
        <v>8.6960185985294221</v>
      </c>
      <c r="I116" s="206">
        <f t="shared" si="34"/>
        <v>6.3097767616586076</v>
      </c>
      <c r="J116" s="207">
        <f t="shared" si="36"/>
        <v>6139.4127890938253</v>
      </c>
      <c r="K116" s="208">
        <f t="shared" si="30"/>
        <v>8461.2260963691278</v>
      </c>
      <c r="L116" s="209">
        <f>+J116-K116</f>
        <v>-2321.8133072753026</v>
      </c>
      <c r="M116" s="210">
        <f t="shared" si="26"/>
        <v>-78.288391895467925</v>
      </c>
      <c r="N116" s="211">
        <f t="shared" si="27"/>
        <v>-2400.1016991707706</v>
      </c>
      <c r="O116" s="210">
        <v>0</v>
      </c>
      <c r="P116" s="210">
        <v>0</v>
      </c>
      <c r="Q116" s="210">
        <v>0</v>
      </c>
      <c r="R116" s="211">
        <f t="shared" si="28"/>
        <v>-2400.1016991707706</v>
      </c>
    </row>
    <row r="117" spans="1:18" x14ac:dyDescent="0.25">
      <c r="A117" s="163">
        <v>2</v>
      </c>
      <c r="B117" s="202">
        <f t="shared" si="35"/>
        <v>43862</v>
      </c>
      <c r="C117" s="226">
        <f t="shared" ref="C117:D139" si="37">+C105</f>
        <v>43894</v>
      </c>
      <c r="D117" s="226">
        <f t="shared" si="37"/>
        <v>43914</v>
      </c>
      <c r="E117" s="212" t="s">
        <v>13</v>
      </c>
      <c r="F117" s="163">
        <v>9</v>
      </c>
      <c r="G117" s="205">
        <v>991</v>
      </c>
      <c r="H117" s="206">
        <f t="shared" si="25"/>
        <v>8.6960185985294221</v>
      </c>
      <c r="I117" s="206">
        <f t="shared" si="34"/>
        <v>6.3097767616586076</v>
      </c>
      <c r="J117" s="207">
        <f t="shared" si="36"/>
        <v>6252.9887708036804</v>
      </c>
      <c r="K117" s="208">
        <f t="shared" si="30"/>
        <v>8617.7544311426573</v>
      </c>
      <c r="L117" s="209">
        <f>+J117-K117</f>
        <v>-2364.7656603389769</v>
      </c>
      <c r="M117" s="210">
        <f t="shared" si="26"/>
        <v>-79.736686915116863</v>
      </c>
      <c r="N117" s="211">
        <f t="shared" si="27"/>
        <v>-2444.5023472540938</v>
      </c>
      <c r="O117" s="210">
        <v>0</v>
      </c>
      <c r="P117" s="210">
        <v>0</v>
      </c>
      <c r="Q117" s="210">
        <v>0</v>
      </c>
      <c r="R117" s="211">
        <f t="shared" si="28"/>
        <v>-2444.5023472540938</v>
      </c>
    </row>
    <row r="118" spans="1:18" x14ac:dyDescent="0.25">
      <c r="A118" s="163">
        <v>3</v>
      </c>
      <c r="B118" s="202">
        <f t="shared" si="35"/>
        <v>43891</v>
      </c>
      <c r="C118" s="226">
        <f t="shared" si="37"/>
        <v>43924</v>
      </c>
      <c r="D118" s="226">
        <f t="shared" si="37"/>
        <v>43945</v>
      </c>
      <c r="E118" s="212" t="s">
        <v>13</v>
      </c>
      <c r="F118" s="163">
        <v>9</v>
      </c>
      <c r="G118" s="205">
        <v>585</v>
      </c>
      <c r="H118" s="206">
        <f t="shared" si="25"/>
        <v>8.6960185985294221</v>
      </c>
      <c r="I118" s="206">
        <f t="shared" si="34"/>
        <v>6.3097767616586076</v>
      </c>
      <c r="J118" s="207">
        <f t="shared" si="36"/>
        <v>3691.2194055702853</v>
      </c>
      <c r="K118" s="208">
        <f t="shared" si="30"/>
        <v>5087.1708801397117</v>
      </c>
      <c r="L118" s="209">
        <f>+J118-K118</f>
        <v>-1395.9514745694264</v>
      </c>
      <c r="M118" s="210">
        <f t="shared" si="26"/>
        <v>-47.069588138590682</v>
      </c>
      <c r="N118" s="211">
        <f t="shared" si="27"/>
        <v>-1443.0210627080171</v>
      </c>
      <c r="O118" s="210">
        <v>0</v>
      </c>
      <c r="P118" s="210">
        <v>0</v>
      </c>
      <c r="Q118" s="210">
        <v>0</v>
      </c>
      <c r="R118" s="211">
        <f t="shared" si="28"/>
        <v>-1443.0210627080171</v>
      </c>
    </row>
    <row r="119" spans="1:18" x14ac:dyDescent="0.25">
      <c r="A119" s="125">
        <v>4</v>
      </c>
      <c r="B119" s="202">
        <f t="shared" si="35"/>
        <v>43922</v>
      </c>
      <c r="C119" s="226">
        <f t="shared" si="37"/>
        <v>43956</v>
      </c>
      <c r="D119" s="226">
        <f t="shared" si="37"/>
        <v>43976</v>
      </c>
      <c r="E119" s="54" t="s">
        <v>13</v>
      </c>
      <c r="F119" s="163">
        <v>9</v>
      </c>
      <c r="G119" s="205">
        <v>650</v>
      </c>
      <c r="H119" s="206">
        <f t="shared" si="25"/>
        <v>8.6960185985294221</v>
      </c>
      <c r="I119" s="206">
        <f t="shared" si="34"/>
        <v>6.3097767616586076</v>
      </c>
      <c r="J119" s="207">
        <f t="shared" si="36"/>
        <v>4101.3548950780951</v>
      </c>
      <c r="K119" s="208">
        <f t="shared" si="30"/>
        <v>5652.4120890441245</v>
      </c>
      <c r="L119" s="209">
        <f t="shared" ref="L119:L127" si="38">+J119-K119</f>
        <v>-1551.0571939660294</v>
      </c>
      <c r="M119" s="210">
        <f t="shared" si="26"/>
        <v>-52.299542376211875</v>
      </c>
      <c r="N119" s="211">
        <f t="shared" si="27"/>
        <v>-1603.3567363422412</v>
      </c>
      <c r="O119" s="210">
        <v>0</v>
      </c>
      <c r="P119" s="210">
        <v>0</v>
      </c>
      <c r="Q119" s="210">
        <v>0</v>
      </c>
      <c r="R119" s="211">
        <f t="shared" si="28"/>
        <v>-1603.3567363422412</v>
      </c>
    </row>
    <row r="120" spans="1:18" x14ac:dyDescent="0.25">
      <c r="A120" s="163">
        <v>5</v>
      </c>
      <c r="B120" s="202">
        <f t="shared" si="35"/>
        <v>43952</v>
      </c>
      <c r="C120" s="226">
        <f t="shared" si="37"/>
        <v>43985</v>
      </c>
      <c r="D120" s="226">
        <f t="shared" si="37"/>
        <v>44006</v>
      </c>
      <c r="E120" s="54" t="s">
        <v>13</v>
      </c>
      <c r="F120" s="163">
        <v>9</v>
      </c>
      <c r="G120" s="205">
        <v>688</v>
      </c>
      <c r="H120" s="206">
        <f t="shared" si="25"/>
        <v>8.6960185985294221</v>
      </c>
      <c r="I120" s="206">
        <f t="shared" si="34"/>
        <v>6.3097767616586076</v>
      </c>
      <c r="J120" s="207">
        <f t="shared" si="36"/>
        <v>4341.1264120211217</v>
      </c>
      <c r="K120" s="208">
        <f t="shared" si="30"/>
        <v>5982.8607957882423</v>
      </c>
      <c r="L120" s="209">
        <f t="shared" si="38"/>
        <v>-1641.7343837671206</v>
      </c>
      <c r="M120" s="210">
        <f t="shared" si="26"/>
        <v>-55.357054084359639</v>
      </c>
      <c r="N120" s="211">
        <f t="shared" si="27"/>
        <v>-1697.0914378514801</v>
      </c>
      <c r="O120" s="210">
        <v>0</v>
      </c>
      <c r="P120" s="210">
        <v>0</v>
      </c>
      <c r="Q120" s="210">
        <v>0</v>
      </c>
      <c r="R120" s="211">
        <f t="shared" si="28"/>
        <v>-1697.0914378514801</v>
      </c>
    </row>
    <row r="121" spans="1:18" x14ac:dyDescent="0.25">
      <c r="A121" s="163">
        <v>6</v>
      </c>
      <c r="B121" s="202">
        <f t="shared" si="35"/>
        <v>43983</v>
      </c>
      <c r="C121" s="226">
        <f t="shared" si="37"/>
        <v>44015</v>
      </c>
      <c r="D121" s="226">
        <f t="shared" si="37"/>
        <v>44036</v>
      </c>
      <c r="E121" s="54" t="s">
        <v>13</v>
      </c>
      <c r="F121" s="163">
        <v>9</v>
      </c>
      <c r="G121" s="205">
        <v>835</v>
      </c>
      <c r="H121" s="206">
        <f t="shared" si="25"/>
        <v>8.6960185985294221</v>
      </c>
      <c r="I121" s="206">
        <f t="shared" si="34"/>
        <v>6.3097767616586076</v>
      </c>
      <c r="J121" s="207">
        <f t="shared" si="36"/>
        <v>5268.6635959849373</v>
      </c>
      <c r="K121" s="208">
        <f t="shared" si="30"/>
        <v>7261.1755297720674</v>
      </c>
      <c r="L121" s="213">
        <f t="shared" si="38"/>
        <v>-1992.5119337871301</v>
      </c>
      <c r="M121" s="210">
        <f t="shared" si="26"/>
        <v>-67.184796744826016</v>
      </c>
      <c r="N121" s="211">
        <f t="shared" si="27"/>
        <v>-2059.6967305319563</v>
      </c>
      <c r="O121" s="210">
        <v>0</v>
      </c>
      <c r="P121" s="210">
        <v>0</v>
      </c>
      <c r="Q121" s="210">
        <v>0</v>
      </c>
      <c r="R121" s="211">
        <f t="shared" si="28"/>
        <v>-2059.6967305319563</v>
      </c>
    </row>
    <row r="122" spans="1:18" x14ac:dyDescent="0.25">
      <c r="A122" s="125">
        <v>7</v>
      </c>
      <c r="B122" s="202">
        <f t="shared" si="35"/>
        <v>44013</v>
      </c>
      <c r="C122" s="226">
        <f t="shared" si="37"/>
        <v>44048</v>
      </c>
      <c r="D122" s="226">
        <f t="shared" si="37"/>
        <v>44067</v>
      </c>
      <c r="E122" s="54" t="s">
        <v>13</v>
      </c>
      <c r="F122" s="163">
        <v>9</v>
      </c>
      <c r="G122" s="205">
        <v>908</v>
      </c>
      <c r="H122" s="206">
        <f t="shared" si="25"/>
        <v>8.6960185985294221</v>
      </c>
      <c r="I122" s="206">
        <f t="shared" si="34"/>
        <v>6.3097767616586076</v>
      </c>
      <c r="J122" s="207">
        <f t="shared" si="36"/>
        <v>5729.2772995860159</v>
      </c>
      <c r="K122" s="214">
        <f t="shared" si="30"/>
        <v>7895.984887464715</v>
      </c>
      <c r="L122" s="213">
        <f t="shared" si="38"/>
        <v>-2166.7075878786991</v>
      </c>
      <c r="M122" s="210">
        <f t="shared" si="26"/>
        <v>-73.058437657846738</v>
      </c>
      <c r="N122" s="211">
        <f t="shared" si="27"/>
        <v>-2239.7660255365458</v>
      </c>
      <c r="O122" s="210">
        <v>0</v>
      </c>
      <c r="P122" s="210">
        <v>0</v>
      </c>
      <c r="Q122" s="210">
        <v>0</v>
      </c>
      <c r="R122" s="211">
        <f t="shared" si="28"/>
        <v>-2239.7660255365458</v>
      </c>
    </row>
    <row r="123" spans="1:18" x14ac:dyDescent="0.25">
      <c r="A123" s="163">
        <v>8</v>
      </c>
      <c r="B123" s="202">
        <f t="shared" si="35"/>
        <v>44044</v>
      </c>
      <c r="C123" s="226">
        <f t="shared" si="37"/>
        <v>44077</v>
      </c>
      <c r="D123" s="226">
        <f t="shared" si="37"/>
        <v>44098</v>
      </c>
      <c r="E123" s="54" t="s">
        <v>13</v>
      </c>
      <c r="F123" s="163">
        <v>9</v>
      </c>
      <c r="G123" s="205">
        <v>905</v>
      </c>
      <c r="H123" s="206">
        <f t="shared" si="25"/>
        <v>8.6960185985294221</v>
      </c>
      <c r="I123" s="206">
        <f t="shared" si="34"/>
        <v>6.3097767616586076</v>
      </c>
      <c r="J123" s="207">
        <f t="shared" si="36"/>
        <v>5710.3479693010395</v>
      </c>
      <c r="K123" s="214">
        <f t="shared" si="30"/>
        <v>7869.8968316691271</v>
      </c>
      <c r="L123" s="213">
        <f t="shared" si="38"/>
        <v>-2159.5488623680876</v>
      </c>
      <c r="M123" s="210">
        <f t="shared" si="26"/>
        <v>-72.817055154571918</v>
      </c>
      <c r="N123" s="211">
        <f t="shared" si="27"/>
        <v>-2232.3659175226594</v>
      </c>
      <c r="O123" s="210">
        <v>0</v>
      </c>
      <c r="P123" s="210">
        <v>0</v>
      </c>
      <c r="Q123" s="210">
        <v>0</v>
      </c>
      <c r="R123" s="211">
        <f t="shared" si="28"/>
        <v>-2232.3659175226594</v>
      </c>
    </row>
    <row r="124" spans="1:18" x14ac:dyDescent="0.25">
      <c r="A124" s="163">
        <v>9</v>
      </c>
      <c r="B124" s="202">
        <f t="shared" si="35"/>
        <v>44075</v>
      </c>
      <c r="C124" s="226">
        <f t="shared" si="37"/>
        <v>44109</v>
      </c>
      <c r="D124" s="226">
        <f t="shared" si="37"/>
        <v>44130</v>
      </c>
      <c r="E124" s="54" t="s">
        <v>13</v>
      </c>
      <c r="F124" s="163">
        <v>9</v>
      </c>
      <c r="G124" s="205">
        <v>758</v>
      </c>
      <c r="H124" s="206">
        <f t="shared" si="25"/>
        <v>8.6960185985294221</v>
      </c>
      <c r="I124" s="206">
        <f t="shared" si="34"/>
        <v>6.3097767616586076</v>
      </c>
      <c r="J124" s="207">
        <f t="shared" si="36"/>
        <v>4782.8107853372248</v>
      </c>
      <c r="K124" s="214">
        <f t="shared" si="30"/>
        <v>6591.582097685302</v>
      </c>
      <c r="L124" s="213">
        <f t="shared" si="38"/>
        <v>-1808.7713123480771</v>
      </c>
      <c r="M124" s="210">
        <f t="shared" si="26"/>
        <v>-60.989312494105526</v>
      </c>
      <c r="N124" s="211">
        <f t="shared" si="27"/>
        <v>-1869.7606248421826</v>
      </c>
      <c r="O124" s="210">
        <v>0</v>
      </c>
      <c r="P124" s="210">
        <v>0</v>
      </c>
      <c r="Q124" s="210">
        <v>0</v>
      </c>
      <c r="R124" s="211">
        <f t="shared" si="28"/>
        <v>-1869.7606248421826</v>
      </c>
    </row>
    <row r="125" spans="1:18" x14ac:dyDescent="0.25">
      <c r="A125" s="125">
        <v>10</v>
      </c>
      <c r="B125" s="202">
        <f t="shared" si="35"/>
        <v>44105</v>
      </c>
      <c r="C125" s="226">
        <f t="shared" si="37"/>
        <v>44139</v>
      </c>
      <c r="D125" s="226">
        <f t="shared" si="37"/>
        <v>44159</v>
      </c>
      <c r="E125" s="54" t="s">
        <v>13</v>
      </c>
      <c r="F125" s="163">
        <v>9</v>
      </c>
      <c r="G125" s="205">
        <v>713</v>
      </c>
      <c r="H125" s="206">
        <f t="shared" si="25"/>
        <v>8.6960185985294221</v>
      </c>
      <c r="I125" s="206">
        <f t="shared" si="34"/>
        <v>6.3097767616586076</v>
      </c>
      <c r="J125" s="207">
        <f t="shared" si="36"/>
        <v>4498.8708310625871</v>
      </c>
      <c r="K125" s="214">
        <f t="shared" si="30"/>
        <v>6200.2612607514775</v>
      </c>
      <c r="L125" s="213">
        <f t="shared" si="38"/>
        <v>-1701.3904296888904</v>
      </c>
      <c r="M125" s="210">
        <f t="shared" si="26"/>
        <v>-57.368574944983173</v>
      </c>
      <c r="N125" s="211">
        <f t="shared" si="27"/>
        <v>-1758.7590046338737</v>
      </c>
      <c r="O125" s="210">
        <v>0</v>
      </c>
      <c r="P125" s="210">
        <v>0</v>
      </c>
      <c r="Q125" s="210">
        <v>0</v>
      </c>
      <c r="R125" s="211">
        <f t="shared" si="28"/>
        <v>-1758.7590046338737</v>
      </c>
    </row>
    <row r="126" spans="1:18" x14ac:dyDescent="0.25">
      <c r="A126" s="163">
        <v>11</v>
      </c>
      <c r="B126" s="202">
        <f t="shared" si="35"/>
        <v>44136</v>
      </c>
      <c r="C126" s="226">
        <f t="shared" si="37"/>
        <v>44168</v>
      </c>
      <c r="D126" s="226">
        <f t="shared" si="37"/>
        <v>44189</v>
      </c>
      <c r="E126" s="54" t="s">
        <v>13</v>
      </c>
      <c r="F126" s="163">
        <v>9</v>
      </c>
      <c r="G126" s="205">
        <v>763</v>
      </c>
      <c r="H126" s="206">
        <f t="shared" si="25"/>
        <v>8.6960185985294221</v>
      </c>
      <c r="I126" s="206">
        <f t="shared" si="34"/>
        <v>6.3097767616586076</v>
      </c>
      <c r="J126" s="207">
        <f t="shared" si="36"/>
        <v>4814.3596691455177</v>
      </c>
      <c r="K126" s="214">
        <f t="shared" si="30"/>
        <v>6635.0621906779488</v>
      </c>
      <c r="L126" s="213">
        <f t="shared" si="38"/>
        <v>-1820.7025215324311</v>
      </c>
      <c r="M126" s="210">
        <f t="shared" si="26"/>
        <v>-61.391616666230242</v>
      </c>
      <c r="N126" s="211">
        <f t="shared" si="27"/>
        <v>-1882.0941381986613</v>
      </c>
      <c r="O126" s="210">
        <v>0</v>
      </c>
      <c r="P126" s="210">
        <v>0</v>
      </c>
      <c r="Q126" s="210">
        <v>0</v>
      </c>
      <c r="R126" s="211">
        <f t="shared" si="28"/>
        <v>-1882.0941381986613</v>
      </c>
    </row>
    <row r="127" spans="1:18" s="230" customFormat="1" x14ac:dyDescent="0.25">
      <c r="A127" s="163">
        <v>12</v>
      </c>
      <c r="B127" s="228">
        <f t="shared" si="35"/>
        <v>44166</v>
      </c>
      <c r="C127" s="231">
        <f t="shared" si="37"/>
        <v>44202</v>
      </c>
      <c r="D127" s="231">
        <f t="shared" si="37"/>
        <v>44221</v>
      </c>
      <c r="E127" s="229" t="s">
        <v>13</v>
      </c>
      <c r="F127" s="174">
        <v>9</v>
      </c>
      <c r="G127" s="217">
        <v>988</v>
      </c>
      <c r="H127" s="218">
        <f t="shared" si="25"/>
        <v>8.6960185985294221</v>
      </c>
      <c r="I127" s="218">
        <f t="shared" si="34"/>
        <v>6.3097767616586076</v>
      </c>
      <c r="J127" s="219">
        <f t="shared" si="36"/>
        <v>6234.0594405187039</v>
      </c>
      <c r="K127" s="220">
        <f t="shared" si="30"/>
        <v>8591.6663753470693</v>
      </c>
      <c r="L127" s="221">
        <f t="shared" si="38"/>
        <v>-2357.6069348283654</v>
      </c>
      <c r="M127" s="210">
        <f t="shared" si="26"/>
        <v>-79.495304411842042</v>
      </c>
      <c r="N127" s="211">
        <f t="shared" si="27"/>
        <v>-2437.1022392402074</v>
      </c>
      <c r="O127" s="210">
        <v>0</v>
      </c>
      <c r="P127" s="210">
        <v>0</v>
      </c>
      <c r="Q127" s="210">
        <v>0</v>
      </c>
      <c r="R127" s="211">
        <f t="shared" si="28"/>
        <v>-2437.1022392402074</v>
      </c>
    </row>
    <row r="128" spans="1:18" x14ac:dyDescent="0.25">
      <c r="A128" s="125">
        <v>1</v>
      </c>
      <c r="B128" s="202">
        <f t="shared" si="35"/>
        <v>43831</v>
      </c>
      <c r="C128" s="226">
        <f t="shared" si="37"/>
        <v>43866</v>
      </c>
      <c r="D128" s="226">
        <f t="shared" si="37"/>
        <v>43885</v>
      </c>
      <c r="E128" s="204" t="s">
        <v>15</v>
      </c>
      <c r="F128" s="125">
        <v>9</v>
      </c>
      <c r="G128" s="205">
        <v>6</v>
      </c>
      <c r="H128" s="206">
        <f t="shared" si="25"/>
        <v>8.6960185985294221</v>
      </c>
      <c r="I128" s="206">
        <f t="shared" ref="I128:I147" si="39">$J$3</f>
        <v>6.3097767616586076</v>
      </c>
      <c r="J128" s="207">
        <f t="shared" si="36"/>
        <v>37.858660569951645</v>
      </c>
      <c r="K128" s="208">
        <f t="shared" si="30"/>
        <v>52.176111591176536</v>
      </c>
      <c r="L128" s="209">
        <f>+J128-K128</f>
        <v>-14.31745102122489</v>
      </c>
      <c r="M128" s="210">
        <f t="shared" si="26"/>
        <v>-0.48276500654964799</v>
      </c>
      <c r="N128" s="211">
        <f t="shared" si="27"/>
        <v>-14.800216027774539</v>
      </c>
      <c r="O128" s="210">
        <v>0</v>
      </c>
      <c r="P128" s="210">
        <v>0</v>
      </c>
      <c r="Q128" s="210">
        <v>0</v>
      </c>
      <c r="R128" s="211">
        <f t="shared" si="28"/>
        <v>-14.800216027774539</v>
      </c>
    </row>
    <row r="129" spans="1:18" x14ac:dyDescent="0.25">
      <c r="A129" s="163">
        <v>2</v>
      </c>
      <c r="B129" s="202">
        <f t="shared" si="35"/>
        <v>43862</v>
      </c>
      <c r="C129" s="226">
        <f t="shared" si="37"/>
        <v>43894</v>
      </c>
      <c r="D129" s="226">
        <f t="shared" si="37"/>
        <v>43914</v>
      </c>
      <c r="E129" s="212" t="s">
        <v>15</v>
      </c>
      <c r="F129" s="163">
        <v>9</v>
      </c>
      <c r="G129" s="205">
        <v>5</v>
      </c>
      <c r="H129" s="206">
        <f t="shared" si="25"/>
        <v>8.6960185985294221</v>
      </c>
      <c r="I129" s="206">
        <f t="shared" si="39"/>
        <v>6.3097767616586076</v>
      </c>
      <c r="J129" s="207">
        <f t="shared" si="36"/>
        <v>31.548883808293038</v>
      </c>
      <c r="K129" s="208">
        <f t="shared" si="30"/>
        <v>43.480092992647108</v>
      </c>
      <c r="L129" s="209">
        <f>+J129-K129</f>
        <v>-11.931209184354071</v>
      </c>
      <c r="M129" s="210">
        <f t="shared" si="26"/>
        <v>-0.4023041721247067</v>
      </c>
      <c r="N129" s="211">
        <f t="shared" si="27"/>
        <v>-12.333513356478777</v>
      </c>
      <c r="O129" s="210">
        <v>0</v>
      </c>
      <c r="P129" s="210">
        <v>0</v>
      </c>
      <c r="Q129" s="210">
        <v>0</v>
      </c>
      <c r="R129" s="211">
        <f t="shared" si="28"/>
        <v>-12.333513356478777</v>
      </c>
    </row>
    <row r="130" spans="1:18" x14ac:dyDescent="0.25">
      <c r="A130" s="163">
        <v>3</v>
      </c>
      <c r="B130" s="202">
        <f t="shared" si="35"/>
        <v>43891</v>
      </c>
      <c r="C130" s="226">
        <f t="shared" si="37"/>
        <v>43924</v>
      </c>
      <c r="D130" s="226">
        <f t="shared" si="37"/>
        <v>43945</v>
      </c>
      <c r="E130" s="212" t="s">
        <v>15</v>
      </c>
      <c r="F130" s="163">
        <v>9</v>
      </c>
      <c r="G130" s="205">
        <v>4</v>
      </c>
      <c r="H130" s="206">
        <f t="shared" si="25"/>
        <v>8.6960185985294221</v>
      </c>
      <c r="I130" s="206">
        <f t="shared" si="39"/>
        <v>6.3097767616586076</v>
      </c>
      <c r="J130" s="207">
        <f t="shared" si="36"/>
        <v>25.23910704663443</v>
      </c>
      <c r="K130" s="208">
        <f t="shared" si="30"/>
        <v>34.784074394117688</v>
      </c>
      <c r="L130" s="209">
        <f>+J130-K130</f>
        <v>-9.5449673474832579</v>
      </c>
      <c r="M130" s="210">
        <f t="shared" si="26"/>
        <v>-0.32184333769976536</v>
      </c>
      <c r="N130" s="211">
        <f t="shared" si="27"/>
        <v>-9.8668106851830224</v>
      </c>
      <c r="O130" s="210">
        <v>0</v>
      </c>
      <c r="P130" s="210">
        <v>0</v>
      </c>
      <c r="Q130" s="210">
        <v>0</v>
      </c>
      <c r="R130" s="211">
        <f t="shared" si="28"/>
        <v>-9.8668106851830224</v>
      </c>
    </row>
    <row r="131" spans="1:18" x14ac:dyDescent="0.25">
      <c r="A131" s="125">
        <v>4</v>
      </c>
      <c r="B131" s="202">
        <f t="shared" si="35"/>
        <v>43922</v>
      </c>
      <c r="C131" s="226">
        <f t="shared" si="37"/>
        <v>43956</v>
      </c>
      <c r="D131" s="226">
        <f t="shared" si="37"/>
        <v>43976</v>
      </c>
      <c r="E131" s="212" t="s">
        <v>15</v>
      </c>
      <c r="F131" s="163">
        <v>9</v>
      </c>
      <c r="G131" s="205">
        <v>7</v>
      </c>
      <c r="H131" s="206">
        <f t="shared" si="25"/>
        <v>8.6960185985294221</v>
      </c>
      <c r="I131" s="206">
        <f t="shared" si="39"/>
        <v>6.3097767616586076</v>
      </c>
      <c r="J131" s="207">
        <f t="shared" si="36"/>
        <v>44.168437331610249</v>
      </c>
      <c r="K131" s="208">
        <f t="shared" si="30"/>
        <v>60.872130189705956</v>
      </c>
      <c r="L131" s="209">
        <f t="shared" ref="L131:L141" si="40">+J131-K131</f>
        <v>-16.703692858095707</v>
      </c>
      <c r="M131" s="210">
        <f t="shared" si="26"/>
        <v>-0.56322584097458939</v>
      </c>
      <c r="N131" s="211">
        <f t="shared" si="27"/>
        <v>-17.266918699070295</v>
      </c>
      <c r="O131" s="210">
        <v>0</v>
      </c>
      <c r="P131" s="210">
        <v>0</v>
      </c>
      <c r="Q131" s="210">
        <v>0</v>
      </c>
      <c r="R131" s="211">
        <f t="shared" si="28"/>
        <v>-17.266918699070295</v>
      </c>
    </row>
    <row r="132" spans="1:18" x14ac:dyDescent="0.25">
      <c r="A132" s="163">
        <v>5</v>
      </c>
      <c r="B132" s="202">
        <f t="shared" si="35"/>
        <v>43952</v>
      </c>
      <c r="C132" s="226">
        <f t="shared" si="37"/>
        <v>43985</v>
      </c>
      <c r="D132" s="226">
        <f t="shared" si="37"/>
        <v>44006</v>
      </c>
      <c r="E132" s="54" t="s">
        <v>15</v>
      </c>
      <c r="F132" s="163">
        <v>9</v>
      </c>
      <c r="G132" s="205">
        <v>11</v>
      </c>
      <c r="H132" s="206">
        <f t="shared" si="25"/>
        <v>8.6960185985294221</v>
      </c>
      <c r="I132" s="206">
        <f t="shared" si="39"/>
        <v>6.3097767616586076</v>
      </c>
      <c r="J132" s="207">
        <f t="shared" si="36"/>
        <v>69.40754437824468</v>
      </c>
      <c r="K132" s="208">
        <f t="shared" si="30"/>
        <v>95.656204583823637</v>
      </c>
      <c r="L132" s="209">
        <f t="shared" si="40"/>
        <v>-26.248660205578958</v>
      </c>
      <c r="M132" s="210">
        <f t="shared" si="26"/>
        <v>-0.88506917867435475</v>
      </c>
      <c r="N132" s="211">
        <f t="shared" si="27"/>
        <v>-27.133729384253311</v>
      </c>
      <c r="O132" s="210">
        <v>0</v>
      </c>
      <c r="P132" s="210">
        <v>0</v>
      </c>
      <c r="Q132" s="210">
        <v>0</v>
      </c>
      <c r="R132" s="211">
        <f t="shared" si="28"/>
        <v>-27.133729384253311</v>
      </c>
    </row>
    <row r="133" spans="1:18" x14ac:dyDescent="0.25">
      <c r="A133" s="163">
        <v>6</v>
      </c>
      <c r="B133" s="202">
        <f t="shared" si="35"/>
        <v>43983</v>
      </c>
      <c r="C133" s="226">
        <f t="shared" si="37"/>
        <v>44015</v>
      </c>
      <c r="D133" s="226">
        <f t="shared" si="37"/>
        <v>44036</v>
      </c>
      <c r="E133" s="54" t="s">
        <v>15</v>
      </c>
      <c r="F133" s="163">
        <v>9</v>
      </c>
      <c r="G133" s="205">
        <v>12</v>
      </c>
      <c r="H133" s="206">
        <f t="shared" si="25"/>
        <v>8.6960185985294221</v>
      </c>
      <c r="I133" s="206">
        <f t="shared" si="39"/>
        <v>6.3097767616586076</v>
      </c>
      <c r="J133" s="207">
        <f t="shared" si="36"/>
        <v>75.717321139903291</v>
      </c>
      <c r="K133" s="208">
        <f t="shared" si="30"/>
        <v>104.35222318235307</v>
      </c>
      <c r="L133" s="213">
        <f t="shared" si="40"/>
        <v>-28.634902042449781</v>
      </c>
      <c r="M133" s="210">
        <f t="shared" si="26"/>
        <v>-0.96553001309929598</v>
      </c>
      <c r="N133" s="211">
        <f t="shared" si="27"/>
        <v>-29.600432055549078</v>
      </c>
      <c r="O133" s="210">
        <v>0</v>
      </c>
      <c r="P133" s="210">
        <v>0</v>
      </c>
      <c r="Q133" s="210">
        <v>0</v>
      </c>
      <c r="R133" s="211">
        <f t="shared" si="28"/>
        <v>-29.600432055549078</v>
      </c>
    </row>
    <row r="134" spans="1:18" x14ac:dyDescent="0.25">
      <c r="A134" s="125">
        <v>7</v>
      </c>
      <c r="B134" s="202">
        <f t="shared" si="35"/>
        <v>44013</v>
      </c>
      <c r="C134" s="226">
        <f t="shared" si="37"/>
        <v>44048</v>
      </c>
      <c r="D134" s="226">
        <f t="shared" si="37"/>
        <v>44067</v>
      </c>
      <c r="E134" s="54" t="s">
        <v>15</v>
      </c>
      <c r="F134" s="163">
        <v>9</v>
      </c>
      <c r="G134" s="205">
        <v>18</v>
      </c>
      <c r="H134" s="206">
        <f t="shared" si="25"/>
        <v>8.6960185985294221</v>
      </c>
      <c r="I134" s="206">
        <f t="shared" si="39"/>
        <v>6.3097767616586076</v>
      </c>
      <c r="J134" s="207">
        <f t="shared" si="36"/>
        <v>113.57598170985494</v>
      </c>
      <c r="K134" s="214">
        <f t="shared" ref="K134:K197" si="41">+$G134*H134</f>
        <v>156.52833477352959</v>
      </c>
      <c r="L134" s="213">
        <f t="shared" si="40"/>
        <v>-42.95235306367465</v>
      </c>
      <c r="M134" s="210">
        <f t="shared" si="26"/>
        <v>-1.4482950196489441</v>
      </c>
      <c r="N134" s="211">
        <f t="shared" si="27"/>
        <v>-44.400648083323595</v>
      </c>
      <c r="O134" s="210">
        <v>0</v>
      </c>
      <c r="P134" s="210">
        <v>0</v>
      </c>
      <c r="Q134" s="210">
        <v>0</v>
      </c>
      <c r="R134" s="211">
        <f t="shared" si="28"/>
        <v>-44.400648083323595</v>
      </c>
    </row>
    <row r="135" spans="1:18" x14ac:dyDescent="0.25">
      <c r="A135" s="163">
        <v>8</v>
      </c>
      <c r="B135" s="202">
        <f t="shared" si="35"/>
        <v>44044</v>
      </c>
      <c r="C135" s="226">
        <f t="shared" si="37"/>
        <v>44077</v>
      </c>
      <c r="D135" s="226">
        <f t="shared" si="37"/>
        <v>44098</v>
      </c>
      <c r="E135" s="54" t="s">
        <v>15</v>
      </c>
      <c r="F135" s="163">
        <v>9</v>
      </c>
      <c r="G135" s="205">
        <v>16</v>
      </c>
      <c r="H135" s="206">
        <f t="shared" si="25"/>
        <v>8.6960185985294221</v>
      </c>
      <c r="I135" s="206">
        <f t="shared" si="39"/>
        <v>6.3097767616586076</v>
      </c>
      <c r="J135" s="207">
        <f t="shared" si="36"/>
        <v>100.95642818653772</v>
      </c>
      <c r="K135" s="214">
        <f t="shared" si="41"/>
        <v>139.13629757647075</v>
      </c>
      <c r="L135" s="213">
        <f t="shared" si="40"/>
        <v>-38.179869389933032</v>
      </c>
      <c r="M135" s="210">
        <f t="shared" si="26"/>
        <v>-1.2873733507990615</v>
      </c>
      <c r="N135" s="211">
        <f t="shared" si="27"/>
        <v>-39.46724274073209</v>
      </c>
      <c r="O135" s="210">
        <v>0</v>
      </c>
      <c r="P135" s="210">
        <v>0</v>
      </c>
      <c r="Q135" s="210">
        <v>0</v>
      </c>
      <c r="R135" s="211">
        <f t="shared" si="28"/>
        <v>-39.46724274073209</v>
      </c>
    </row>
    <row r="136" spans="1:18" x14ac:dyDescent="0.25">
      <c r="A136" s="163">
        <v>9</v>
      </c>
      <c r="B136" s="202">
        <f t="shared" si="35"/>
        <v>44075</v>
      </c>
      <c r="C136" s="226">
        <f t="shared" si="37"/>
        <v>44109</v>
      </c>
      <c r="D136" s="226">
        <f t="shared" si="37"/>
        <v>44130</v>
      </c>
      <c r="E136" s="54" t="s">
        <v>15</v>
      </c>
      <c r="F136" s="163">
        <v>9</v>
      </c>
      <c r="G136" s="205">
        <v>6</v>
      </c>
      <c r="H136" s="206">
        <f t="shared" si="25"/>
        <v>8.6960185985294221</v>
      </c>
      <c r="I136" s="206">
        <f t="shared" si="39"/>
        <v>6.3097767616586076</v>
      </c>
      <c r="J136" s="207">
        <f t="shared" si="36"/>
        <v>37.858660569951645</v>
      </c>
      <c r="K136" s="214">
        <f t="shared" si="41"/>
        <v>52.176111591176536</v>
      </c>
      <c r="L136" s="213">
        <f t="shared" si="40"/>
        <v>-14.31745102122489</v>
      </c>
      <c r="M136" s="210">
        <f t="shared" si="26"/>
        <v>-0.48276500654964799</v>
      </c>
      <c r="N136" s="211">
        <f t="shared" si="27"/>
        <v>-14.800216027774539</v>
      </c>
      <c r="O136" s="210">
        <v>0</v>
      </c>
      <c r="P136" s="210">
        <v>0</v>
      </c>
      <c r="Q136" s="210">
        <v>0</v>
      </c>
      <c r="R136" s="211">
        <f t="shared" si="28"/>
        <v>-14.800216027774539</v>
      </c>
    </row>
    <row r="137" spans="1:18" x14ac:dyDescent="0.25">
      <c r="A137" s="125">
        <v>10</v>
      </c>
      <c r="B137" s="202">
        <f t="shared" si="35"/>
        <v>44105</v>
      </c>
      <c r="C137" s="226">
        <f t="shared" si="37"/>
        <v>44139</v>
      </c>
      <c r="D137" s="226">
        <f t="shared" si="37"/>
        <v>44159</v>
      </c>
      <c r="E137" s="54" t="s">
        <v>15</v>
      </c>
      <c r="F137" s="163">
        <v>9</v>
      </c>
      <c r="G137" s="205">
        <v>7</v>
      </c>
      <c r="H137" s="206">
        <f t="shared" si="25"/>
        <v>8.6960185985294221</v>
      </c>
      <c r="I137" s="206">
        <f t="shared" si="39"/>
        <v>6.3097767616586076</v>
      </c>
      <c r="J137" s="207">
        <f t="shared" si="36"/>
        <v>44.168437331610249</v>
      </c>
      <c r="K137" s="214">
        <f t="shared" si="41"/>
        <v>60.872130189705956</v>
      </c>
      <c r="L137" s="213">
        <f t="shared" si="40"/>
        <v>-16.703692858095707</v>
      </c>
      <c r="M137" s="210">
        <f t="shared" si="26"/>
        <v>-0.56322584097458939</v>
      </c>
      <c r="N137" s="211">
        <f t="shared" si="27"/>
        <v>-17.266918699070295</v>
      </c>
      <c r="O137" s="210">
        <v>0</v>
      </c>
      <c r="P137" s="210">
        <v>0</v>
      </c>
      <c r="Q137" s="210">
        <v>0</v>
      </c>
      <c r="R137" s="211">
        <f t="shared" si="28"/>
        <v>-17.266918699070295</v>
      </c>
    </row>
    <row r="138" spans="1:18" x14ac:dyDescent="0.25">
      <c r="A138" s="163">
        <v>11</v>
      </c>
      <c r="B138" s="202">
        <f t="shared" si="35"/>
        <v>44136</v>
      </c>
      <c r="C138" s="226">
        <f t="shared" si="37"/>
        <v>44168</v>
      </c>
      <c r="D138" s="226">
        <f t="shared" si="37"/>
        <v>44189</v>
      </c>
      <c r="E138" s="54" t="s">
        <v>15</v>
      </c>
      <c r="F138" s="163">
        <v>9</v>
      </c>
      <c r="G138" s="205">
        <v>6</v>
      </c>
      <c r="H138" s="206">
        <f t="shared" si="25"/>
        <v>8.6960185985294221</v>
      </c>
      <c r="I138" s="206">
        <f t="shared" si="39"/>
        <v>6.3097767616586076</v>
      </c>
      <c r="J138" s="207">
        <f t="shared" si="36"/>
        <v>37.858660569951645</v>
      </c>
      <c r="K138" s="214">
        <f t="shared" si="41"/>
        <v>52.176111591176536</v>
      </c>
      <c r="L138" s="213">
        <f t="shared" si="40"/>
        <v>-14.31745102122489</v>
      </c>
      <c r="M138" s="210">
        <f t="shared" si="26"/>
        <v>-0.48276500654964799</v>
      </c>
      <c r="N138" s="211">
        <f t="shared" si="27"/>
        <v>-14.800216027774539</v>
      </c>
      <c r="O138" s="210">
        <v>0</v>
      </c>
      <c r="P138" s="210">
        <v>0</v>
      </c>
      <c r="Q138" s="210">
        <v>0</v>
      </c>
      <c r="R138" s="211">
        <f t="shared" si="28"/>
        <v>-14.800216027774539</v>
      </c>
    </row>
    <row r="139" spans="1:18" s="230" customFormat="1" x14ac:dyDescent="0.25">
      <c r="A139" s="163">
        <v>12</v>
      </c>
      <c r="B139" s="228">
        <f t="shared" si="35"/>
        <v>44166</v>
      </c>
      <c r="C139" s="226">
        <f t="shared" si="37"/>
        <v>44202</v>
      </c>
      <c r="D139" s="226">
        <f t="shared" si="37"/>
        <v>44221</v>
      </c>
      <c r="E139" s="229" t="s">
        <v>15</v>
      </c>
      <c r="F139" s="174">
        <v>9</v>
      </c>
      <c r="G139" s="217">
        <v>8</v>
      </c>
      <c r="H139" s="218">
        <f t="shared" si="25"/>
        <v>8.6960185985294221</v>
      </c>
      <c r="I139" s="218">
        <f t="shared" si="39"/>
        <v>6.3097767616586076</v>
      </c>
      <c r="J139" s="219">
        <f t="shared" si="36"/>
        <v>50.478214093268861</v>
      </c>
      <c r="K139" s="220">
        <f t="shared" si="41"/>
        <v>69.568148788235376</v>
      </c>
      <c r="L139" s="221">
        <f t="shared" si="40"/>
        <v>-19.089934694966516</v>
      </c>
      <c r="M139" s="210">
        <f t="shared" si="26"/>
        <v>-0.64368667539953073</v>
      </c>
      <c r="N139" s="211">
        <f t="shared" si="27"/>
        <v>-19.733621370366045</v>
      </c>
      <c r="O139" s="210">
        <v>0</v>
      </c>
      <c r="P139" s="210">
        <v>0</v>
      </c>
      <c r="Q139" s="210">
        <v>0</v>
      </c>
      <c r="R139" s="211">
        <f t="shared" si="28"/>
        <v>-19.733621370366045</v>
      </c>
    </row>
    <row r="140" spans="1:18" x14ac:dyDescent="0.25">
      <c r="A140" s="125">
        <v>1</v>
      </c>
      <c r="B140" s="202">
        <f t="shared" si="35"/>
        <v>43831</v>
      </c>
      <c r="C140" s="223">
        <f t="shared" ref="C140:D151" si="42">+C128</f>
        <v>43866</v>
      </c>
      <c r="D140" s="223">
        <f t="shared" si="42"/>
        <v>43885</v>
      </c>
      <c r="E140" s="233" t="s">
        <v>16</v>
      </c>
      <c r="F140" s="163">
        <v>9</v>
      </c>
      <c r="G140" s="205">
        <v>2</v>
      </c>
      <c r="H140" s="206">
        <f t="shared" si="25"/>
        <v>8.6960185985294221</v>
      </c>
      <c r="I140" s="206">
        <f t="shared" si="39"/>
        <v>6.3097767616586076</v>
      </c>
      <c r="J140" s="207">
        <f t="shared" si="36"/>
        <v>12.619553523317215</v>
      </c>
      <c r="K140" s="208">
        <f t="shared" si="41"/>
        <v>17.392037197058844</v>
      </c>
      <c r="L140" s="209">
        <f t="shared" si="40"/>
        <v>-4.772483673741629</v>
      </c>
      <c r="M140" s="210">
        <f t="shared" si="26"/>
        <v>-0.16092166884988268</v>
      </c>
      <c r="N140" s="211">
        <f t="shared" si="27"/>
        <v>-4.9334053425915112</v>
      </c>
      <c r="O140" s="210">
        <v>0</v>
      </c>
      <c r="P140" s="210">
        <v>0</v>
      </c>
      <c r="Q140" s="210">
        <v>0</v>
      </c>
      <c r="R140" s="211">
        <f t="shared" si="28"/>
        <v>-4.9334053425915112</v>
      </c>
    </row>
    <row r="141" spans="1:18" x14ac:dyDescent="0.25">
      <c r="A141" s="163">
        <v>2</v>
      </c>
      <c r="B141" s="202">
        <f t="shared" si="35"/>
        <v>43862</v>
      </c>
      <c r="C141" s="226">
        <f t="shared" si="42"/>
        <v>43894</v>
      </c>
      <c r="D141" s="226">
        <f t="shared" si="42"/>
        <v>43914</v>
      </c>
      <c r="E141" s="54" t="s">
        <v>16</v>
      </c>
      <c r="F141" s="163">
        <v>9</v>
      </c>
      <c r="G141" s="205">
        <v>3</v>
      </c>
      <c r="H141" s="206">
        <f t="shared" si="25"/>
        <v>8.6960185985294221</v>
      </c>
      <c r="I141" s="206">
        <f t="shared" si="39"/>
        <v>6.3097767616586076</v>
      </c>
      <c r="J141" s="207">
        <f t="shared" si="36"/>
        <v>18.929330284975823</v>
      </c>
      <c r="K141" s="208">
        <f t="shared" si="41"/>
        <v>26.088055795588268</v>
      </c>
      <c r="L141" s="209">
        <f t="shared" si="40"/>
        <v>-7.1587255106124452</v>
      </c>
      <c r="M141" s="210">
        <f t="shared" si="26"/>
        <v>-0.241382503274824</v>
      </c>
      <c r="N141" s="211">
        <f t="shared" si="27"/>
        <v>-7.4001080138872695</v>
      </c>
      <c r="O141" s="210">
        <v>0</v>
      </c>
      <c r="P141" s="210">
        <v>0</v>
      </c>
      <c r="Q141" s="210">
        <v>0</v>
      </c>
      <c r="R141" s="211">
        <f t="shared" si="28"/>
        <v>-7.4001080138872695</v>
      </c>
    </row>
    <row r="142" spans="1:18" x14ac:dyDescent="0.25">
      <c r="A142" s="163">
        <v>3</v>
      </c>
      <c r="B142" s="202">
        <f t="shared" si="35"/>
        <v>43891</v>
      </c>
      <c r="C142" s="226">
        <f t="shared" si="42"/>
        <v>43924</v>
      </c>
      <c r="D142" s="226">
        <f t="shared" si="42"/>
        <v>43945</v>
      </c>
      <c r="E142" s="54" t="s">
        <v>16</v>
      </c>
      <c r="F142" s="163">
        <v>9</v>
      </c>
      <c r="G142" s="205">
        <v>1</v>
      </c>
      <c r="H142" s="206">
        <f t="shared" si="25"/>
        <v>8.6960185985294221</v>
      </c>
      <c r="I142" s="206">
        <f t="shared" si="39"/>
        <v>6.3097767616586076</v>
      </c>
      <c r="J142" s="207">
        <f t="shared" si="36"/>
        <v>6.3097767616586076</v>
      </c>
      <c r="K142" s="208">
        <f t="shared" si="41"/>
        <v>8.6960185985294221</v>
      </c>
      <c r="L142" s="209">
        <f>+J142-K142</f>
        <v>-2.3862418368708145</v>
      </c>
      <c r="M142" s="210">
        <f t="shared" si="26"/>
        <v>-8.0460834424941341E-2</v>
      </c>
      <c r="N142" s="211">
        <f t="shared" si="27"/>
        <v>-2.4667026712957556</v>
      </c>
      <c r="O142" s="210">
        <v>0</v>
      </c>
      <c r="P142" s="210">
        <v>0</v>
      </c>
      <c r="Q142" s="210">
        <v>0</v>
      </c>
      <c r="R142" s="211">
        <f t="shared" si="28"/>
        <v>-2.4667026712957556</v>
      </c>
    </row>
    <row r="143" spans="1:18" x14ac:dyDescent="0.25">
      <c r="A143" s="125">
        <v>4</v>
      </c>
      <c r="B143" s="202">
        <f t="shared" si="35"/>
        <v>43922</v>
      </c>
      <c r="C143" s="226">
        <f t="shared" si="42"/>
        <v>43956</v>
      </c>
      <c r="D143" s="226">
        <f t="shared" si="42"/>
        <v>43976</v>
      </c>
      <c r="E143" s="54" t="s">
        <v>16</v>
      </c>
      <c r="F143" s="163">
        <v>9</v>
      </c>
      <c r="G143" s="205">
        <v>2</v>
      </c>
      <c r="H143" s="206">
        <f t="shared" si="25"/>
        <v>8.6960185985294221</v>
      </c>
      <c r="I143" s="206">
        <f t="shared" si="39"/>
        <v>6.3097767616586076</v>
      </c>
      <c r="J143" s="207">
        <f t="shared" si="36"/>
        <v>12.619553523317215</v>
      </c>
      <c r="K143" s="208">
        <f t="shared" si="41"/>
        <v>17.392037197058844</v>
      </c>
      <c r="L143" s="209">
        <f t="shared" ref="L143:L153" si="43">+J143-K143</f>
        <v>-4.772483673741629</v>
      </c>
      <c r="M143" s="210">
        <f t="shared" si="26"/>
        <v>-0.16092166884988268</v>
      </c>
      <c r="N143" s="211">
        <f t="shared" si="27"/>
        <v>-4.9334053425915112</v>
      </c>
      <c r="O143" s="210">
        <v>0</v>
      </c>
      <c r="P143" s="210">
        <v>0</v>
      </c>
      <c r="Q143" s="210">
        <v>0</v>
      </c>
      <c r="R143" s="211">
        <f t="shared" si="28"/>
        <v>-4.9334053425915112</v>
      </c>
    </row>
    <row r="144" spans="1:18" x14ac:dyDescent="0.25">
      <c r="A144" s="163">
        <v>5</v>
      </c>
      <c r="B144" s="202">
        <f t="shared" si="35"/>
        <v>43952</v>
      </c>
      <c r="C144" s="226">
        <f t="shared" si="42"/>
        <v>43985</v>
      </c>
      <c r="D144" s="226">
        <f t="shared" si="42"/>
        <v>44006</v>
      </c>
      <c r="E144" s="54" t="s">
        <v>16</v>
      </c>
      <c r="F144" s="163">
        <v>9</v>
      </c>
      <c r="G144" s="205">
        <v>2</v>
      </c>
      <c r="H144" s="206">
        <f t="shared" si="25"/>
        <v>8.6960185985294221</v>
      </c>
      <c r="I144" s="206">
        <f t="shared" si="39"/>
        <v>6.3097767616586076</v>
      </c>
      <c r="J144" s="207">
        <f t="shared" si="36"/>
        <v>12.619553523317215</v>
      </c>
      <c r="K144" s="208">
        <f t="shared" si="41"/>
        <v>17.392037197058844</v>
      </c>
      <c r="L144" s="209">
        <f t="shared" si="43"/>
        <v>-4.772483673741629</v>
      </c>
      <c r="M144" s="210">
        <f t="shared" si="26"/>
        <v>-0.16092166884988268</v>
      </c>
      <c r="N144" s="211">
        <f t="shared" si="27"/>
        <v>-4.9334053425915112</v>
      </c>
      <c r="O144" s="210">
        <v>0</v>
      </c>
      <c r="P144" s="210">
        <v>0</v>
      </c>
      <c r="Q144" s="210">
        <v>0</v>
      </c>
      <c r="R144" s="211">
        <f t="shared" si="28"/>
        <v>-4.9334053425915112</v>
      </c>
    </row>
    <row r="145" spans="1:19" x14ac:dyDescent="0.25">
      <c r="A145" s="163">
        <v>6</v>
      </c>
      <c r="B145" s="202">
        <f t="shared" si="35"/>
        <v>43983</v>
      </c>
      <c r="C145" s="226">
        <f t="shared" si="42"/>
        <v>44015</v>
      </c>
      <c r="D145" s="226">
        <f t="shared" si="42"/>
        <v>44036</v>
      </c>
      <c r="E145" s="54" t="s">
        <v>16</v>
      </c>
      <c r="F145" s="163">
        <v>9</v>
      </c>
      <c r="G145" s="205">
        <v>4</v>
      </c>
      <c r="H145" s="206">
        <f t="shared" si="25"/>
        <v>8.6960185985294221</v>
      </c>
      <c r="I145" s="206">
        <f t="shared" si="39"/>
        <v>6.3097767616586076</v>
      </c>
      <c r="J145" s="207">
        <f t="shared" si="36"/>
        <v>25.23910704663443</v>
      </c>
      <c r="K145" s="208">
        <f t="shared" si="41"/>
        <v>34.784074394117688</v>
      </c>
      <c r="L145" s="213">
        <f t="shared" si="43"/>
        <v>-9.5449673474832579</v>
      </c>
      <c r="M145" s="210">
        <f t="shared" si="26"/>
        <v>-0.32184333769976536</v>
      </c>
      <c r="N145" s="211">
        <f t="shared" si="27"/>
        <v>-9.8668106851830224</v>
      </c>
      <c r="O145" s="210">
        <v>0</v>
      </c>
      <c r="P145" s="210">
        <v>0</v>
      </c>
      <c r="Q145" s="210">
        <v>0</v>
      </c>
      <c r="R145" s="211">
        <f t="shared" si="28"/>
        <v>-9.8668106851830224</v>
      </c>
    </row>
    <row r="146" spans="1:19" x14ac:dyDescent="0.25">
      <c r="A146" s="125">
        <v>7</v>
      </c>
      <c r="B146" s="202">
        <f t="shared" si="35"/>
        <v>44013</v>
      </c>
      <c r="C146" s="226">
        <f t="shared" si="42"/>
        <v>44048</v>
      </c>
      <c r="D146" s="226">
        <f t="shared" si="42"/>
        <v>44067</v>
      </c>
      <c r="E146" s="54" t="s">
        <v>16</v>
      </c>
      <c r="F146" s="163">
        <v>9</v>
      </c>
      <c r="G146" s="205">
        <v>6</v>
      </c>
      <c r="H146" s="206">
        <f t="shared" si="25"/>
        <v>8.6960185985294221</v>
      </c>
      <c r="I146" s="206">
        <f t="shared" si="39"/>
        <v>6.3097767616586076</v>
      </c>
      <c r="J146" s="207">
        <f t="shared" si="36"/>
        <v>37.858660569951645</v>
      </c>
      <c r="K146" s="214">
        <f t="shared" si="41"/>
        <v>52.176111591176536</v>
      </c>
      <c r="L146" s="213">
        <f t="shared" si="43"/>
        <v>-14.31745102122489</v>
      </c>
      <c r="M146" s="210">
        <f t="shared" si="26"/>
        <v>-0.48276500654964799</v>
      </c>
      <c r="N146" s="211">
        <f t="shared" si="27"/>
        <v>-14.800216027774539</v>
      </c>
      <c r="O146" s="210">
        <v>0</v>
      </c>
      <c r="P146" s="210">
        <v>0</v>
      </c>
      <c r="Q146" s="210">
        <v>0</v>
      </c>
      <c r="R146" s="211">
        <f t="shared" si="28"/>
        <v>-14.800216027774539</v>
      </c>
    </row>
    <row r="147" spans="1:19" x14ac:dyDescent="0.25">
      <c r="A147" s="163">
        <v>8</v>
      </c>
      <c r="B147" s="202">
        <f t="shared" si="35"/>
        <v>44044</v>
      </c>
      <c r="C147" s="226">
        <f t="shared" si="42"/>
        <v>44077</v>
      </c>
      <c r="D147" s="226">
        <f t="shared" si="42"/>
        <v>44098</v>
      </c>
      <c r="E147" s="54" t="s">
        <v>16</v>
      </c>
      <c r="F147" s="163">
        <v>9</v>
      </c>
      <c r="G147" s="205">
        <v>5</v>
      </c>
      <c r="H147" s="206">
        <f t="shared" si="25"/>
        <v>8.6960185985294221</v>
      </c>
      <c r="I147" s="206">
        <f t="shared" si="39"/>
        <v>6.3097767616586076</v>
      </c>
      <c r="J147" s="207">
        <f t="shared" si="36"/>
        <v>31.548883808293038</v>
      </c>
      <c r="K147" s="214">
        <f t="shared" si="41"/>
        <v>43.480092992647108</v>
      </c>
      <c r="L147" s="213">
        <f t="shared" si="43"/>
        <v>-11.931209184354071</v>
      </c>
      <c r="M147" s="210">
        <f t="shared" si="26"/>
        <v>-0.4023041721247067</v>
      </c>
      <c r="N147" s="211">
        <f t="shared" si="27"/>
        <v>-12.333513356478777</v>
      </c>
      <c r="O147" s="210">
        <v>0</v>
      </c>
      <c r="P147" s="210">
        <v>0</v>
      </c>
      <c r="Q147" s="210">
        <v>0</v>
      </c>
      <c r="R147" s="211">
        <f t="shared" si="28"/>
        <v>-12.333513356478777</v>
      </c>
    </row>
    <row r="148" spans="1:19" x14ac:dyDescent="0.25">
      <c r="A148" s="163">
        <v>9</v>
      </c>
      <c r="B148" s="202">
        <f t="shared" si="35"/>
        <v>44075</v>
      </c>
      <c r="C148" s="226">
        <f t="shared" si="42"/>
        <v>44109</v>
      </c>
      <c r="D148" s="226">
        <f t="shared" si="42"/>
        <v>44130</v>
      </c>
      <c r="E148" s="54" t="s">
        <v>16</v>
      </c>
      <c r="F148" s="163">
        <v>9</v>
      </c>
      <c r="G148" s="205">
        <v>2</v>
      </c>
      <c r="H148" s="206">
        <f t="shared" si="25"/>
        <v>8.6960185985294221</v>
      </c>
      <c r="I148" s="206">
        <f t="shared" ref="I148:I179" si="44">$J$3</f>
        <v>6.3097767616586076</v>
      </c>
      <c r="J148" s="207">
        <f t="shared" si="36"/>
        <v>12.619553523317215</v>
      </c>
      <c r="K148" s="214">
        <f t="shared" si="41"/>
        <v>17.392037197058844</v>
      </c>
      <c r="L148" s="213">
        <f t="shared" si="43"/>
        <v>-4.772483673741629</v>
      </c>
      <c r="M148" s="210">
        <f t="shared" si="26"/>
        <v>-0.16092166884988268</v>
      </c>
      <c r="N148" s="211">
        <f t="shared" si="27"/>
        <v>-4.9334053425915112</v>
      </c>
      <c r="O148" s="210">
        <v>0</v>
      </c>
      <c r="P148" s="210">
        <v>0</v>
      </c>
      <c r="Q148" s="210">
        <v>0</v>
      </c>
      <c r="R148" s="211">
        <f t="shared" si="28"/>
        <v>-4.9334053425915112</v>
      </c>
    </row>
    <row r="149" spans="1:19" x14ac:dyDescent="0.25">
      <c r="A149" s="125">
        <v>10</v>
      </c>
      <c r="B149" s="202">
        <f t="shared" ref="B149:B211" si="45">DATE($R$1,A149,1)</f>
        <v>44105</v>
      </c>
      <c r="C149" s="226">
        <f t="shared" si="42"/>
        <v>44139</v>
      </c>
      <c r="D149" s="226">
        <f t="shared" si="42"/>
        <v>44159</v>
      </c>
      <c r="E149" s="54" t="s">
        <v>16</v>
      </c>
      <c r="F149" s="163">
        <v>9</v>
      </c>
      <c r="G149" s="205">
        <v>1</v>
      </c>
      <c r="H149" s="206">
        <f t="shared" ref="H149:H211" si="46">+$K$3</f>
        <v>8.6960185985294221</v>
      </c>
      <c r="I149" s="206">
        <f t="shared" si="44"/>
        <v>6.3097767616586076</v>
      </c>
      <c r="J149" s="207">
        <f t="shared" ref="J149:J211" si="47">+$G149*I149</f>
        <v>6.3097767616586076</v>
      </c>
      <c r="K149" s="214">
        <f t="shared" si="41"/>
        <v>8.6960185985294221</v>
      </c>
      <c r="L149" s="213">
        <f t="shared" si="43"/>
        <v>-2.3862418368708145</v>
      </c>
      <c r="M149" s="210">
        <f t="shared" ref="M149:M211" si="48">G149/$G$212*$M$14</f>
        <v>-8.0460834424941341E-2</v>
      </c>
      <c r="N149" s="211">
        <f t="shared" ref="N149:N211" si="49">SUM(L149:M149)</f>
        <v>-2.4667026712957556</v>
      </c>
      <c r="O149" s="210">
        <v>0</v>
      </c>
      <c r="P149" s="210">
        <v>0</v>
      </c>
      <c r="Q149" s="210">
        <v>0</v>
      </c>
      <c r="R149" s="211">
        <f t="shared" ref="R149:R211" si="50">+N149-Q149</f>
        <v>-2.4667026712957556</v>
      </c>
    </row>
    <row r="150" spans="1:19" x14ac:dyDescent="0.25">
      <c r="A150" s="163">
        <v>11</v>
      </c>
      <c r="B150" s="202">
        <f t="shared" si="45"/>
        <v>44136</v>
      </c>
      <c r="C150" s="226">
        <f t="shared" si="42"/>
        <v>44168</v>
      </c>
      <c r="D150" s="226">
        <f t="shared" si="42"/>
        <v>44189</v>
      </c>
      <c r="E150" s="54" t="s">
        <v>16</v>
      </c>
      <c r="F150" s="163">
        <v>9</v>
      </c>
      <c r="G150" s="205">
        <v>3</v>
      </c>
      <c r="H150" s="206">
        <f t="shared" si="46"/>
        <v>8.6960185985294221</v>
      </c>
      <c r="I150" s="206">
        <f t="shared" si="44"/>
        <v>6.3097767616586076</v>
      </c>
      <c r="J150" s="207">
        <f t="shared" si="47"/>
        <v>18.929330284975823</v>
      </c>
      <c r="K150" s="214">
        <f t="shared" si="41"/>
        <v>26.088055795588268</v>
      </c>
      <c r="L150" s="213">
        <f t="shared" si="43"/>
        <v>-7.1587255106124452</v>
      </c>
      <c r="M150" s="210">
        <f t="shared" si="48"/>
        <v>-0.241382503274824</v>
      </c>
      <c r="N150" s="211">
        <f t="shared" si="49"/>
        <v>-7.4001080138872695</v>
      </c>
      <c r="O150" s="210">
        <v>0</v>
      </c>
      <c r="P150" s="210">
        <v>0</v>
      </c>
      <c r="Q150" s="210">
        <v>0</v>
      </c>
      <c r="R150" s="211">
        <f t="shared" si="50"/>
        <v>-7.4001080138872695</v>
      </c>
    </row>
    <row r="151" spans="1:19" s="230" customFormat="1" x14ac:dyDescent="0.25">
      <c r="A151" s="163">
        <v>12</v>
      </c>
      <c r="B151" s="228">
        <f t="shared" si="45"/>
        <v>44166</v>
      </c>
      <c r="C151" s="226">
        <f t="shared" si="42"/>
        <v>44202</v>
      </c>
      <c r="D151" s="226">
        <f t="shared" si="42"/>
        <v>44221</v>
      </c>
      <c r="E151" s="229" t="s">
        <v>16</v>
      </c>
      <c r="F151" s="174">
        <v>9</v>
      </c>
      <c r="G151" s="217">
        <v>1</v>
      </c>
      <c r="H151" s="218">
        <f t="shared" si="46"/>
        <v>8.6960185985294221</v>
      </c>
      <c r="I151" s="218">
        <f t="shared" si="44"/>
        <v>6.3097767616586076</v>
      </c>
      <c r="J151" s="219">
        <f t="shared" si="47"/>
        <v>6.3097767616586076</v>
      </c>
      <c r="K151" s="220">
        <f t="shared" si="41"/>
        <v>8.6960185985294221</v>
      </c>
      <c r="L151" s="221">
        <f t="shared" si="43"/>
        <v>-2.3862418368708145</v>
      </c>
      <c r="M151" s="210">
        <f t="shared" si="48"/>
        <v>-8.0460834424941341E-2</v>
      </c>
      <c r="N151" s="211">
        <f t="shared" si="49"/>
        <v>-2.4667026712957556</v>
      </c>
      <c r="O151" s="210">
        <v>0</v>
      </c>
      <c r="P151" s="210">
        <v>0</v>
      </c>
      <c r="Q151" s="210">
        <v>0</v>
      </c>
      <c r="R151" s="211">
        <f t="shared" si="50"/>
        <v>-2.4667026712957556</v>
      </c>
    </row>
    <row r="152" spans="1:19" x14ac:dyDescent="0.25">
      <c r="A152" s="125">
        <v>1</v>
      </c>
      <c r="B152" s="202">
        <f t="shared" si="45"/>
        <v>43831</v>
      </c>
      <c r="C152" s="223">
        <f t="shared" ref="C152:D171" si="51">+C140</f>
        <v>43866</v>
      </c>
      <c r="D152" s="223">
        <f t="shared" si="51"/>
        <v>43885</v>
      </c>
      <c r="E152" s="233" t="s">
        <v>53</v>
      </c>
      <c r="F152" s="125">
        <v>9</v>
      </c>
      <c r="G152" s="205">
        <v>109</v>
      </c>
      <c r="H152" s="206">
        <f t="shared" si="46"/>
        <v>8.6960185985294221</v>
      </c>
      <c r="I152" s="206">
        <f t="shared" si="44"/>
        <v>6.3097767616586076</v>
      </c>
      <c r="J152" s="207">
        <f t="shared" si="47"/>
        <v>687.76566702078821</v>
      </c>
      <c r="K152" s="208">
        <f t="shared" si="41"/>
        <v>947.86602723970702</v>
      </c>
      <c r="L152" s="209">
        <f t="shared" si="43"/>
        <v>-260.10036021891881</v>
      </c>
      <c r="M152" s="210">
        <f t="shared" si="48"/>
        <v>-8.7702309523186059</v>
      </c>
      <c r="N152" s="211">
        <f t="shared" si="49"/>
        <v>-268.87059117123744</v>
      </c>
      <c r="O152" s="210">
        <v>0</v>
      </c>
      <c r="P152" s="210">
        <v>0</v>
      </c>
      <c r="Q152" s="210">
        <v>0</v>
      </c>
      <c r="R152" s="211">
        <f t="shared" si="50"/>
        <v>-268.87059117123744</v>
      </c>
    </row>
    <row r="153" spans="1:19" x14ac:dyDescent="0.25">
      <c r="A153" s="163">
        <v>2</v>
      </c>
      <c r="B153" s="202">
        <f t="shared" si="45"/>
        <v>43862</v>
      </c>
      <c r="C153" s="226">
        <f t="shared" si="51"/>
        <v>43894</v>
      </c>
      <c r="D153" s="226">
        <f t="shared" si="51"/>
        <v>43914</v>
      </c>
      <c r="E153" s="234" t="s">
        <v>53</v>
      </c>
      <c r="F153" s="163">
        <v>9</v>
      </c>
      <c r="G153" s="205">
        <v>104</v>
      </c>
      <c r="H153" s="206">
        <f t="shared" si="46"/>
        <v>8.6960185985294221</v>
      </c>
      <c r="I153" s="206">
        <f t="shared" si="44"/>
        <v>6.3097767616586076</v>
      </c>
      <c r="J153" s="207">
        <f t="shared" si="47"/>
        <v>656.21678321249522</v>
      </c>
      <c r="K153" s="208">
        <f t="shared" si="41"/>
        <v>904.38593424705994</v>
      </c>
      <c r="L153" s="209">
        <f t="shared" si="43"/>
        <v>-248.16915103456472</v>
      </c>
      <c r="M153" s="210">
        <f t="shared" si="48"/>
        <v>-8.3679267801938995</v>
      </c>
      <c r="N153" s="211">
        <f t="shared" si="49"/>
        <v>-256.53707781475862</v>
      </c>
      <c r="O153" s="210">
        <v>0</v>
      </c>
      <c r="P153" s="210">
        <v>0</v>
      </c>
      <c r="Q153" s="210">
        <v>0</v>
      </c>
      <c r="R153" s="211">
        <f t="shared" si="50"/>
        <v>-256.53707781475862</v>
      </c>
    </row>
    <row r="154" spans="1:19" x14ac:dyDescent="0.25">
      <c r="A154" s="163">
        <v>3</v>
      </c>
      <c r="B154" s="202">
        <f t="shared" si="45"/>
        <v>43891</v>
      </c>
      <c r="C154" s="226">
        <f t="shared" si="51"/>
        <v>43924</v>
      </c>
      <c r="D154" s="226">
        <f t="shared" si="51"/>
        <v>43945</v>
      </c>
      <c r="E154" s="234" t="s">
        <v>53</v>
      </c>
      <c r="F154" s="163">
        <v>9</v>
      </c>
      <c r="G154" s="205">
        <v>87</v>
      </c>
      <c r="H154" s="206">
        <f t="shared" si="46"/>
        <v>8.6960185985294221</v>
      </c>
      <c r="I154" s="206">
        <f t="shared" si="44"/>
        <v>6.3097767616586076</v>
      </c>
      <c r="J154" s="207">
        <f t="shared" si="47"/>
        <v>548.95057826429888</v>
      </c>
      <c r="K154" s="208">
        <f t="shared" si="41"/>
        <v>756.55361807205975</v>
      </c>
      <c r="L154" s="209">
        <f>+J154-K154</f>
        <v>-207.60303980776087</v>
      </c>
      <c r="M154" s="210">
        <f t="shared" si="48"/>
        <v>-7.000092594969896</v>
      </c>
      <c r="N154" s="211">
        <f t="shared" si="49"/>
        <v>-214.60313240273075</v>
      </c>
      <c r="O154" s="210">
        <v>0</v>
      </c>
      <c r="P154" s="210">
        <v>0</v>
      </c>
      <c r="Q154" s="210">
        <v>0</v>
      </c>
      <c r="R154" s="211">
        <f t="shared" si="50"/>
        <v>-214.60313240273075</v>
      </c>
    </row>
    <row r="155" spans="1:19" x14ac:dyDescent="0.25">
      <c r="A155" s="125">
        <v>4</v>
      </c>
      <c r="B155" s="202">
        <f t="shared" si="45"/>
        <v>43922</v>
      </c>
      <c r="C155" s="226">
        <f t="shared" si="51"/>
        <v>43956</v>
      </c>
      <c r="D155" s="226">
        <f t="shared" si="51"/>
        <v>43976</v>
      </c>
      <c r="E155" s="234" t="s">
        <v>53</v>
      </c>
      <c r="F155" s="163">
        <v>9</v>
      </c>
      <c r="G155" s="205">
        <v>102</v>
      </c>
      <c r="H155" s="206">
        <f t="shared" si="46"/>
        <v>8.6960185985294221</v>
      </c>
      <c r="I155" s="206">
        <f t="shared" si="44"/>
        <v>6.3097767616586076</v>
      </c>
      <c r="J155" s="207">
        <f t="shared" si="47"/>
        <v>643.59722968917799</v>
      </c>
      <c r="K155" s="208">
        <f t="shared" si="41"/>
        <v>886.99389705000101</v>
      </c>
      <c r="L155" s="209">
        <f t="shared" ref="L155:L165" si="52">+J155-K155</f>
        <v>-243.39666736082302</v>
      </c>
      <c r="M155" s="210">
        <f t="shared" si="48"/>
        <v>-8.2070051113440172</v>
      </c>
      <c r="N155" s="211">
        <f t="shared" si="49"/>
        <v>-251.60367247216703</v>
      </c>
      <c r="O155" s="210">
        <v>0</v>
      </c>
      <c r="P155" s="210">
        <v>0</v>
      </c>
      <c r="Q155" s="210">
        <v>0</v>
      </c>
      <c r="R155" s="211">
        <f t="shared" si="50"/>
        <v>-251.60367247216703</v>
      </c>
    </row>
    <row r="156" spans="1:19" x14ac:dyDescent="0.25">
      <c r="A156" s="163">
        <v>5</v>
      </c>
      <c r="B156" s="202">
        <f t="shared" si="45"/>
        <v>43952</v>
      </c>
      <c r="C156" s="226">
        <f t="shared" si="51"/>
        <v>43985</v>
      </c>
      <c r="D156" s="226">
        <f t="shared" si="51"/>
        <v>44006</v>
      </c>
      <c r="E156" s="234" t="s">
        <v>53</v>
      </c>
      <c r="F156" s="163">
        <v>9</v>
      </c>
      <c r="G156" s="205">
        <v>92</v>
      </c>
      <c r="H156" s="206">
        <f t="shared" si="46"/>
        <v>8.6960185985294221</v>
      </c>
      <c r="I156" s="206">
        <f t="shared" si="44"/>
        <v>6.3097767616586076</v>
      </c>
      <c r="J156" s="207">
        <f t="shared" si="47"/>
        <v>580.49946207259188</v>
      </c>
      <c r="K156" s="208">
        <f t="shared" si="41"/>
        <v>800.03371106470684</v>
      </c>
      <c r="L156" s="209">
        <f t="shared" si="52"/>
        <v>-219.53424899211495</v>
      </c>
      <c r="M156" s="210">
        <f t="shared" si="48"/>
        <v>-7.4023967670946025</v>
      </c>
      <c r="N156" s="211">
        <f t="shared" si="49"/>
        <v>-226.93664575920957</v>
      </c>
      <c r="O156" s="210">
        <v>0</v>
      </c>
      <c r="P156" s="210">
        <v>0</v>
      </c>
      <c r="Q156" s="210">
        <v>0</v>
      </c>
      <c r="R156" s="211">
        <f t="shared" si="50"/>
        <v>-226.93664575920957</v>
      </c>
    </row>
    <row r="157" spans="1:19" x14ac:dyDescent="0.25">
      <c r="A157" s="163">
        <v>6</v>
      </c>
      <c r="B157" s="202">
        <f t="shared" si="45"/>
        <v>43983</v>
      </c>
      <c r="C157" s="226">
        <f t="shared" si="51"/>
        <v>44015</v>
      </c>
      <c r="D157" s="226">
        <f t="shared" si="51"/>
        <v>44036</v>
      </c>
      <c r="E157" s="234" t="s">
        <v>53</v>
      </c>
      <c r="F157" s="163">
        <v>9</v>
      </c>
      <c r="G157" s="205">
        <v>143</v>
      </c>
      <c r="H157" s="206">
        <f t="shared" si="46"/>
        <v>8.6960185985294221</v>
      </c>
      <c r="I157" s="206">
        <f t="shared" si="44"/>
        <v>6.3097767616586076</v>
      </c>
      <c r="J157" s="207">
        <f t="shared" si="47"/>
        <v>902.29807691718088</v>
      </c>
      <c r="K157" s="208">
        <f t="shared" si="41"/>
        <v>1243.5306595897073</v>
      </c>
      <c r="L157" s="213">
        <f t="shared" si="52"/>
        <v>-341.23258267252641</v>
      </c>
      <c r="M157" s="210">
        <f t="shared" si="48"/>
        <v>-11.505899322766611</v>
      </c>
      <c r="N157" s="211">
        <f t="shared" si="49"/>
        <v>-352.738481995293</v>
      </c>
      <c r="O157" s="210">
        <v>0</v>
      </c>
      <c r="P157" s="210">
        <v>0</v>
      </c>
      <c r="Q157" s="210">
        <v>0</v>
      </c>
      <c r="R157" s="211">
        <f t="shared" si="50"/>
        <v>-352.738481995293</v>
      </c>
    </row>
    <row r="158" spans="1:19" x14ac:dyDescent="0.25">
      <c r="A158" s="125">
        <v>7</v>
      </c>
      <c r="B158" s="202">
        <f t="shared" si="45"/>
        <v>44013</v>
      </c>
      <c r="C158" s="226">
        <f t="shared" si="51"/>
        <v>44048</v>
      </c>
      <c r="D158" s="226">
        <f t="shared" si="51"/>
        <v>44067</v>
      </c>
      <c r="E158" s="234" t="s">
        <v>53</v>
      </c>
      <c r="F158" s="163">
        <v>9</v>
      </c>
      <c r="G158" s="205">
        <v>138</v>
      </c>
      <c r="H158" s="206">
        <f t="shared" si="46"/>
        <v>8.6960185985294221</v>
      </c>
      <c r="I158" s="206">
        <f t="shared" si="44"/>
        <v>6.3097767616586076</v>
      </c>
      <c r="J158" s="207">
        <f t="shared" si="47"/>
        <v>870.74919310888788</v>
      </c>
      <c r="K158" s="214">
        <f t="shared" si="41"/>
        <v>1200.0505665970602</v>
      </c>
      <c r="L158" s="213">
        <f t="shared" si="52"/>
        <v>-329.30137348817232</v>
      </c>
      <c r="M158" s="210">
        <f t="shared" si="48"/>
        <v>-11.103595150641905</v>
      </c>
      <c r="N158" s="211">
        <f t="shared" si="49"/>
        <v>-340.40496863881424</v>
      </c>
      <c r="O158" s="210">
        <v>0</v>
      </c>
      <c r="P158" s="210">
        <v>0</v>
      </c>
      <c r="Q158" s="210">
        <v>0</v>
      </c>
      <c r="R158" s="211">
        <f t="shared" si="50"/>
        <v>-340.40496863881424</v>
      </c>
    </row>
    <row r="159" spans="1:19" x14ac:dyDescent="0.25">
      <c r="A159" s="163">
        <v>8</v>
      </c>
      <c r="B159" s="202">
        <f t="shared" si="45"/>
        <v>44044</v>
      </c>
      <c r="C159" s="226">
        <f t="shared" si="51"/>
        <v>44077</v>
      </c>
      <c r="D159" s="226">
        <f t="shared" si="51"/>
        <v>44098</v>
      </c>
      <c r="E159" s="234" t="s">
        <v>53</v>
      </c>
      <c r="F159" s="125">
        <v>9</v>
      </c>
      <c r="G159" s="205">
        <v>152</v>
      </c>
      <c r="H159" s="206">
        <f t="shared" si="46"/>
        <v>8.6960185985294221</v>
      </c>
      <c r="I159" s="206">
        <f t="shared" si="44"/>
        <v>6.3097767616586076</v>
      </c>
      <c r="J159" s="207">
        <f t="shared" si="47"/>
        <v>959.08606777210832</v>
      </c>
      <c r="K159" s="214">
        <f t="shared" si="41"/>
        <v>1321.7948269764722</v>
      </c>
      <c r="L159" s="213">
        <f t="shared" si="52"/>
        <v>-362.7087592043639</v>
      </c>
      <c r="M159" s="210">
        <f t="shared" si="48"/>
        <v>-12.230046832591084</v>
      </c>
      <c r="N159" s="211">
        <f t="shared" si="49"/>
        <v>-374.93880603695499</v>
      </c>
      <c r="O159" s="210">
        <v>0</v>
      </c>
      <c r="P159" s="210">
        <v>0</v>
      </c>
      <c r="Q159" s="210">
        <v>0</v>
      </c>
      <c r="R159" s="211">
        <f t="shared" si="50"/>
        <v>-374.93880603695499</v>
      </c>
      <c r="S159" s="52"/>
    </row>
    <row r="160" spans="1:19" x14ac:dyDescent="0.25">
      <c r="A160" s="163">
        <v>9</v>
      </c>
      <c r="B160" s="202">
        <f t="shared" si="45"/>
        <v>44075</v>
      </c>
      <c r="C160" s="226">
        <f t="shared" si="51"/>
        <v>44109</v>
      </c>
      <c r="D160" s="226">
        <f t="shared" si="51"/>
        <v>44130</v>
      </c>
      <c r="E160" s="234" t="s">
        <v>53</v>
      </c>
      <c r="F160" s="125">
        <v>9</v>
      </c>
      <c r="G160" s="205">
        <v>136</v>
      </c>
      <c r="H160" s="206">
        <f t="shared" si="46"/>
        <v>8.6960185985294221</v>
      </c>
      <c r="I160" s="206">
        <f t="shared" si="44"/>
        <v>6.3097767616586076</v>
      </c>
      <c r="J160" s="207">
        <f t="shared" si="47"/>
        <v>858.12963958557066</v>
      </c>
      <c r="K160" s="214">
        <f t="shared" si="41"/>
        <v>1182.6585294000015</v>
      </c>
      <c r="L160" s="213">
        <f t="shared" si="52"/>
        <v>-324.52888981443084</v>
      </c>
      <c r="M160" s="210">
        <f t="shared" si="48"/>
        <v>-10.942673481792022</v>
      </c>
      <c r="N160" s="211">
        <f t="shared" si="49"/>
        <v>-335.47156329622288</v>
      </c>
      <c r="O160" s="210">
        <v>0</v>
      </c>
      <c r="P160" s="210">
        <v>0</v>
      </c>
      <c r="Q160" s="210">
        <v>0</v>
      </c>
      <c r="R160" s="211">
        <f t="shared" si="50"/>
        <v>-335.47156329622288</v>
      </c>
    </row>
    <row r="161" spans="1:19" x14ac:dyDescent="0.25">
      <c r="A161" s="125">
        <v>10</v>
      </c>
      <c r="B161" s="202">
        <f t="shared" si="45"/>
        <v>44105</v>
      </c>
      <c r="C161" s="226">
        <f t="shared" si="51"/>
        <v>44139</v>
      </c>
      <c r="D161" s="226">
        <f t="shared" si="51"/>
        <v>44159</v>
      </c>
      <c r="E161" s="234" t="s">
        <v>53</v>
      </c>
      <c r="F161" s="125">
        <v>9</v>
      </c>
      <c r="G161" s="205">
        <v>107</v>
      </c>
      <c r="H161" s="206">
        <f t="shared" si="46"/>
        <v>8.6960185985294221</v>
      </c>
      <c r="I161" s="206">
        <f t="shared" si="44"/>
        <v>6.3097767616586076</v>
      </c>
      <c r="J161" s="207">
        <f t="shared" si="47"/>
        <v>675.14611349747099</v>
      </c>
      <c r="K161" s="214">
        <f t="shared" si="41"/>
        <v>930.47399004264821</v>
      </c>
      <c r="L161" s="213">
        <f t="shared" si="52"/>
        <v>-255.32787654517722</v>
      </c>
      <c r="M161" s="210">
        <f t="shared" si="48"/>
        <v>-8.6093092834687237</v>
      </c>
      <c r="N161" s="211">
        <f t="shared" si="49"/>
        <v>-263.93718582864597</v>
      </c>
      <c r="O161" s="210">
        <v>0</v>
      </c>
      <c r="P161" s="210">
        <v>0</v>
      </c>
      <c r="Q161" s="210">
        <v>0</v>
      </c>
      <c r="R161" s="211">
        <f t="shared" si="50"/>
        <v>-263.93718582864597</v>
      </c>
    </row>
    <row r="162" spans="1:19" x14ac:dyDescent="0.25">
      <c r="A162" s="163">
        <v>11</v>
      </c>
      <c r="B162" s="202">
        <f t="shared" si="45"/>
        <v>44136</v>
      </c>
      <c r="C162" s="226">
        <f t="shared" si="51"/>
        <v>44168</v>
      </c>
      <c r="D162" s="226">
        <f t="shared" si="51"/>
        <v>44189</v>
      </c>
      <c r="E162" s="234" t="s">
        <v>53</v>
      </c>
      <c r="F162" s="125">
        <v>9</v>
      </c>
      <c r="G162" s="205">
        <v>95</v>
      </c>
      <c r="H162" s="206">
        <f t="shared" si="46"/>
        <v>8.6960185985294221</v>
      </c>
      <c r="I162" s="206">
        <f t="shared" si="44"/>
        <v>6.3097767616586076</v>
      </c>
      <c r="J162" s="207">
        <f t="shared" si="47"/>
        <v>599.42879235756777</v>
      </c>
      <c r="K162" s="214">
        <f t="shared" si="41"/>
        <v>826.12176686029511</v>
      </c>
      <c r="L162" s="213">
        <f t="shared" si="52"/>
        <v>-226.69297450272734</v>
      </c>
      <c r="M162" s="210">
        <f t="shared" si="48"/>
        <v>-7.6437792703694267</v>
      </c>
      <c r="N162" s="211">
        <f t="shared" si="49"/>
        <v>-234.33675377309677</v>
      </c>
      <c r="O162" s="210">
        <v>0</v>
      </c>
      <c r="P162" s="210">
        <v>0</v>
      </c>
      <c r="Q162" s="210">
        <v>0</v>
      </c>
      <c r="R162" s="211">
        <f t="shared" si="50"/>
        <v>-234.33675377309677</v>
      </c>
    </row>
    <row r="163" spans="1:19" s="230" customFormat="1" x14ac:dyDescent="0.25">
      <c r="A163" s="163">
        <v>12</v>
      </c>
      <c r="B163" s="228">
        <f t="shared" si="45"/>
        <v>44166</v>
      </c>
      <c r="C163" s="226">
        <f t="shared" si="51"/>
        <v>44202</v>
      </c>
      <c r="D163" s="226">
        <f t="shared" si="51"/>
        <v>44221</v>
      </c>
      <c r="E163" s="235" t="s">
        <v>53</v>
      </c>
      <c r="F163" s="174">
        <v>9</v>
      </c>
      <c r="G163" s="217">
        <v>99</v>
      </c>
      <c r="H163" s="218">
        <f t="shared" si="46"/>
        <v>8.6960185985294221</v>
      </c>
      <c r="I163" s="218">
        <f t="shared" si="44"/>
        <v>6.3097767616586076</v>
      </c>
      <c r="J163" s="219">
        <f t="shared" si="47"/>
        <v>624.6678994042021</v>
      </c>
      <c r="K163" s="220">
        <f t="shared" si="41"/>
        <v>860.90584125441273</v>
      </c>
      <c r="L163" s="221">
        <f t="shared" si="52"/>
        <v>-236.23794185021063</v>
      </c>
      <c r="M163" s="210">
        <f t="shared" si="48"/>
        <v>-7.9656226080691921</v>
      </c>
      <c r="N163" s="211">
        <f t="shared" si="49"/>
        <v>-244.20356445827983</v>
      </c>
      <c r="O163" s="210">
        <v>0</v>
      </c>
      <c r="P163" s="210">
        <v>0</v>
      </c>
      <c r="Q163" s="210">
        <v>0</v>
      </c>
      <c r="R163" s="211">
        <f t="shared" si="50"/>
        <v>-244.20356445827983</v>
      </c>
    </row>
    <row r="164" spans="1:19" x14ac:dyDescent="0.25">
      <c r="A164" s="125">
        <v>1</v>
      </c>
      <c r="B164" s="202">
        <f t="shared" si="45"/>
        <v>43831</v>
      </c>
      <c r="C164" s="223">
        <f t="shared" si="51"/>
        <v>43866</v>
      </c>
      <c r="D164" s="223">
        <f t="shared" si="51"/>
        <v>43885</v>
      </c>
      <c r="E164" s="233" t="s">
        <v>54</v>
      </c>
      <c r="F164" s="125">
        <v>9</v>
      </c>
      <c r="G164" s="205">
        <v>11</v>
      </c>
      <c r="H164" s="206">
        <f t="shared" si="46"/>
        <v>8.6960185985294221</v>
      </c>
      <c r="I164" s="206">
        <f t="shared" si="44"/>
        <v>6.3097767616586076</v>
      </c>
      <c r="J164" s="207">
        <f t="shared" si="47"/>
        <v>69.40754437824468</v>
      </c>
      <c r="K164" s="208">
        <f t="shared" si="41"/>
        <v>95.656204583823637</v>
      </c>
      <c r="L164" s="209">
        <f t="shared" si="52"/>
        <v>-26.248660205578958</v>
      </c>
      <c r="M164" s="210">
        <f t="shared" si="48"/>
        <v>-0.88506917867435475</v>
      </c>
      <c r="N164" s="211">
        <f t="shared" si="49"/>
        <v>-27.133729384253311</v>
      </c>
      <c r="O164" s="210">
        <v>0</v>
      </c>
      <c r="P164" s="210">
        <v>0</v>
      </c>
      <c r="Q164" s="210">
        <v>0</v>
      </c>
      <c r="R164" s="211">
        <f t="shared" si="50"/>
        <v>-27.133729384253311</v>
      </c>
    </row>
    <row r="165" spans="1:19" x14ac:dyDescent="0.25">
      <c r="A165" s="163">
        <v>2</v>
      </c>
      <c r="B165" s="202">
        <f t="shared" si="45"/>
        <v>43862</v>
      </c>
      <c r="C165" s="226">
        <f t="shared" si="51"/>
        <v>43894</v>
      </c>
      <c r="D165" s="226">
        <f t="shared" si="51"/>
        <v>43914</v>
      </c>
      <c r="E165" s="234" t="s">
        <v>54</v>
      </c>
      <c r="F165" s="163">
        <v>9</v>
      </c>
      <c r="G165" s="205">
        <v>10</v>
      </c>
      <c r="H165" s="206">
        <f t="shared" si="46"/>
        <v>8.6960185985294221</v>
      </c>
      <c r="I165" s="206">
        <f t="shared" si="44"/>
        <v>6.3097767616586076</v>
      </c>
      <c r="J165" s="207">
        <f t="shared" si="47"/>
        <v>63.097767616586076</v>
      </c>
      <c r="K165" s="208">
        <f t="shared" si="41"/>
        <v>86.960185985294217</v>
      </c>
      <c r="L165" s="209">
        <f t="shared" si="52"/>
        <v>-23.862418368708141</v>
      </c>
      <c r="M165" s="210">
        <f t="shared" si="48"/>
        <v>-0.80460834424941341</v>
      </c>
      <c r="N165" s="211">
        <f t="shared" si="49"/>
        <v>-24.667026712957554</v>
      </c>
      <c r="O165" s="210">
        <v>0</v>
      </c>
      <c r="P165" s="210">
        <v>0</v>
      </c>
      <c r="Q165" s="210">
        <v>0</v>
      </c>
      <c r="R165" s="211">
        <f t="shared" si="50"/>
        <v>-24.667026712957554</v>
      </c>
    </row>
    <row r="166" spans="1:19" x14ac:dyDescent="0.25">
      <c r="A166" s="163">
        <v>3</v>
      </c>
      <c r="B166" s="202">
        <f t="shared" si="45"/>
        <v>43891</v>
      </c>
      <c r="C166" s="226">
        <f t="shared" si="51"/>
        <v>43924</v>
      </c>
      <c r="D166" s="226">
        <f t="shared" si="51"/>
        <v>43945</v>
      </c>
      <c r="E166" s="234" t="s">
        <v>54</v>
      </c>
      <c r="F166" s="163">
        <v>9</v>
      </c>
      <c r="G166" s="205">
        <v>10</v>
      </c>
      <c r="H166" s="206">
        <f t="shared" si="46"/>
        <v>8.6960185985294221</v>
      </c>
      <c r="I166" s="206">
        <f t="shared" si="44"/>
        <v>6.3097767616586076</v>
      </c>
      <c r="J166" s="207">
        <f t="shared" si="47"/>
        <v>63.097767616586076</v>
      </c>
      <c r="K166" s="208">
        <f t="shared" si="41"/>
        <v>86.960185985294217</v>
      </c>
      <c r="L166" s="209">
        <f>+J166-K166</f>
        <v>-23.862418368708141</v>
      </c>
      <c r="M166" s="210">
        <f t="shared" si="48"/>
        <v>-0.80460834424941341</v>
      </c>
      <c r="N166" s="211">
        <f t="shared" si="49"/>
        <v>-24.667026712957554</v>
      </c>
      <c r="O166" s="210">
        <v>0</v>
      </c>
      <c r="P166" s="210">
        <v>0</v>
      </c>
      <c r="Q166" s="210">
        <v>0</v>
      </c>
      <c r="R166" s="211">
        <f t="shared" si="50"/>
        <v>-24.667026712957554</v>
      </c>
    </row>
    <row r="167" spans="1:19" x14ac:dyDescent="0.25">
      <c r="A167" s="125">
        <v>4</v>
      </c>
      <c r="B167" s="202">
        <f t="shared" si="45"/>
        <v>43922</v>
      </c>
      <c r="C167" s="226">
        <f t="shared" si="51"/>
        <v>43956</v>
      </c>
      <c r="D167" s="226">
        <f t="shared" si="51"/>
        <v>43976</v>
      </c>
      <c r="E167" s="234" t="s">
        <v>54</v>
      </c>
      <c r="F167" s="163">
        <v>9</v>
      </c>
      <c r="G167" s="205">
        <v>7</v>
      </c>
      <c r="H167" s="206">
        <f t="shared" si="46"/>
        <v>8.6960185985294221</v>
      </c>
      <c r="I167" s="206">
        <f t="shared" si="44"/>
        <v>6.3097767616586076</v>
      </c>
      <c r="J167" s="207">
        <f t="shared" si="47"/>
        <v>44.168437331610249</v>
      </c>
      <c r="K167" s="208">
        <f t="shared" si="41"/>
        <v>60.872130189705956</v>
      </c>
      <c r="L167" s="209">
        <f t="shared" ref="L167:L177" si="53">+J167-K167</f>
        <v>-16.703692858095707</v>
      </c>
      <c r="M167" s="210">
        <f t="shared" si="48"/>
        <v>-0.56322584097458939</v>
      </c>
      <c r="N167" s="211">
        <f t="shared" si="49"/>
        <v>-17.266918699070295</v>
      </c>
      <c r="O167" s="210">
        <v>0</v>
      </c>
      <c r="P167" s="210">
        <v>0</v>
      </c>
      <c r="Q167" s="210">
        <v>0</v>
      </c>
      <c r="R167" s="211">
        <f t="shared" si="50"/>
        <v>-17.266918699070295</v>
      </c>
    </row>
    <row r="168" spans="1:19" x14ac:dyDescent="0.25">
      <c r="A168" s="163">
        <v>5</v>
      </c>
      <c r="B168" s="202">
        <f t="shared" si="45"/>
        <v>43952</v>
      </c>
      <c r="C168" s="226">
        <f t="shared" si="51"/>
        <v>43985</v>
      </c>
      <c r="D168" s="226">
        <f t="shared" si="51"/>
        <v>44006</v>
      </c>
      <c r="E168" s="234" t="s">
        <v>54</v>
      </c>
      <c r="F168" s="163">
        <v>9</v>
      </c>
      <c r="G168" s="205">
        <v>13</v>
      </c>
      <c r="H168" s="206">
        <f t="shared" si="46"/>
        <v>8.6960185985294221</v>
      </c>
      <c r="I168" s="206">
        <f t="shared" si="44"/>
        <v>6.3097767616586076</v>
      </c>
      <c r="J168" s="207">
        <f t="shared" si="47"/>
        <v>82.027097901561902</v>
      </c>
      <c r="K168" s="208">
        <f t="shared" si="41"/>
        <v>113.04824178088249</v>
      </c>
      <c r="L168" s="209">
        <f t="shared" si="53"/>
        <v>-31.02114387932059</v>
      </c>
      <c r="M168" s="210">
        <f t="shared" si="48"/>
        <v>-1.0459908475242374</v>
      </c>
      <c r="N168" s="211">
        <f t="shared" si="49"/>
        <v>-32.067134726844827</v>
      </c>
      <c r="O168" s="210">
        <v>0</v>
      </c>
      <c r="P168" s="210">
        <v>0</v>
      </c>
      <c r="Q168" s="210">
        <v>0</v>
      </c>
      <c r="R168" s="211">
        <f t="shared" si="50"/>
        <v>-32.067134726844827</v>
      </c>
    </row>
    <row r="169" spans="1:19" x14ac:dyDescent="0.25">
      <c r="A169" s="163">
        <v>6</v>
      </c>
      <c r="B169" s="202">
        <f t="shared" si="45"/>
        <v>43983</v>
      </c>
      <c r="C169" s="226">
        <f t="shared" si="51"/>
        <v>44015</v>
      </c>
      <c r="D169" s="226">
        <f t="shared" si="51"/>
        <v>44036</v>
      </c>
      <c r="E169" s="234" t="s">
        <v>54</v>
      </c>
      <c r="F169" s="163">
        <v>9</v>
      </c>
      <c r="G169" s="205">
        <v>12</v>
      </c>
      <c r="H169" s="206">
        <f t="shared" si="46"/>
        <v>8.6960185985294221</v>
      </c>
      <c r="I169" s="206">
        <f t="shared" si="44"/>
        <v>6.3097767616586076</v>
      </c>
      <c r="J169" s="207">
        <f t="shared" si="47"/>
        <v>75.717321139903291</v>
      </c>
      <c r="K169" s="208">
        <f t="shared" si="41"/>
        <v>104.35222318235307</v>
      </c>
      <c r="L169" s="213">
        <f t="shared" si="53"/>
        <v>-28.634902042449781</v>
      </c>
      <c r="M169" s="210">
        <f t="shared" si="48"/>
        <v>-0.96553001309929598</v>
      </c>
      <c r="N169" s="211">
        <f t="shared" si="49"/>
        <v>-29.600432055549078</v>
      </c>
      <c r="O169" s="210">
        <v>0</v>
      </c>
      <c r="P169" s="210">
        <v>0</v>
      </c>
      <c r="Q169" s="210">
        <v>0</v>
      </c>
      <c r="R169" s="211">
        <f t="shared" si="50"/>
        <v>-29.600432055549078</v>
      </c>
    </row>
    <row r="170" spans="1:19" x14ac:dyDescent="0.25">
      <c r="A170" s="125">
        <v>7</v>
      </c>
      <c r="B170" s="202">
        <f t="shared" si="45"/>
        <v>44013</v>
      </c>
      <c r="C170" s="226">
        <f t="shared" si="51"/>
        <v>44048</v>
      </c>
      <c r="D170" s="226">
        <f t="shared" si="51"/>
        <v>44067</v>
      </c>
      <c r="E170" s="234" t="s">
        <v>54</v>
      </c>
      <c r="F170" s="163">
        <v>9</v>
      </c>
      <c r="G170" s="205">
        <v>15</v>
      </c>
      <c r="H170" s="206">
        <f t="shared" si="46"/>
        <v>8.6960185985294221</v>
      </c>
      <c r="I170" s="206">
        <f t="shared" si="44"/>
        <v>6.3097767616586076</v>
      </c>
      <c r="J170" s="207">
        <f t="shared" si="47"/>
        <v>94.64665142487911</v>
      </c>
      <c r="K170" s="214">
        <f t="shared" si="41"/>
        <v>130.44027897794132</v>
      </c>
      <c r="L170" s="213">
        <f t="shared" si="53"/>
        <v>-35.793627553062208</v>
      </c>
      <c r="M170" s="210">
        <f t="shared" si="48"/>
        <v>-1.2069125163741201</v>
      </c>
      <c r="N170" s="211">
        <f t="shared" si="49"/>
        <v>-37.000540069436326</v>
      </c>
      <c r="O170" s="210">
        <v>0</v>
      </c>
      <c r="P170" s="210">
        <v>0</v>
      </c>
      <c r="Q170" s="210">
        <v>0</v>
      </c>
      <c r="R170" s="211">
        <f t="shared" si="50"/>
        <v>-37.000540069436326</v>
      </c>
    </row>
    <row r="171" spans="1:19" x14ac:dyDescent="0.25">
      <c r="A171" s="163">
        <v>8</v>
      </c>
      <c r="B171" s="202">
        <f t="shared" si="45"/>
        <v>44044</v>
      </c>
      <c r="C171" s="226">
        <f t="shared" si="51"/>
        <v>44077</v>
      </c>
      <c r="D171" s="226">
        <f t="shared" si="51"/>
        <v>44098</v>
      </c>
      <c r="E171" s="234" t="s">
        <v>54</v>
      </c>
      <c r="F171" s="125">
        <v>9</v>
      </c>
      <c r="G171" s="205">
        <v>12</v>
      </c>
      <c r="H171" s="206">
        <f t="shared" si="46"/>
        <v>8.6960185985294221</v>
      </c>
      <c r="I171" s="206">
        <f t="shared" si="44"/>
        <v>6.3097767616586076</v>
      </c>
      <c r="J171" s="207">
        <f t="shared" si="47"/>
        <v>75.717321139903291</v>
      </c>
      <c r="K171" s="214">
        <f t="shared" si="41"/>
        <v>104.35222318235307</v>
      </c>
      <c r="L171" s="213">
        <f t="shared" si="53"/>
        <v>-28.634902042449781</v>
      </c>
      <c r="M171" s="210">
        <f t="shared" si="48"/>
        <v>-0.96553001309929598</v>
      </c>
      <c r="N171" s="211">
        <f t="shared" si="49"/>
        <v>-29.600432055549078</v>
      </c>
      <c r="O171" s="210">
        <v>0</v>
      </c>
      <c r="P171" s="210">
        <v>0</v>
      </c>
      <c r="Q171" s="210">
        <v>0</v>
      </c>
      <c r="R171" s="211">
        <f t="shared" si="50"/>
        <v>-29.600432055549078</v>
      </c>
      <c r="S171" s="52"/>
    </row>
    <row r="172" spans="1:19" x14ac:dyDescent="0.25">
      <c r="A172" s="163">
        <v>9</v>
      </c>
      <c r="B172" s="202">
        <f t="shared" si="45"/>
        <v>44075</v>
      </c>
      <c r="C172" s="226">
        <f t="shared" ref="C172:D175" si="54">+C160</f>
        <v>44109</v>
      </c>
      <c r="D172" s="226">
        <f t="shared" si="54"/>
        <v>44130</v>
      </c>
      <c r="E172" s="234" t="s">
        <v>54</v>
      </c>
      <c r="F172" s="125">
        <v>9</v>
      </c>
      <c r="G172" s="205">
        <v>14</v>
      </c>
      <c r="H172" s="206">
        <f t="shared" si="46"/>
        <v>8.6960185985294221</v>
      </c>
      <c r="I172" s="206">
        <f t="shared" si="44"/>
        <v>6.3097767616586076</v>
      </c>
      <c r="J172" s="207">
        <f t="shared" si="47"/>
        <v>88.336874663220499</v>
      </c>
      <c r="K172" s="214">
        <f t="shared" si="41"/>
        <v>121.74426037941191</v>
      </c>
      <c r="L172" s="213">
        <f t="shared" si="53"/>
        <v>-33.407385716191413</v>
      </c>
      <c r="M172" s="210">
        <f t="shared" si="48"/>
        <v>-1.1264516819491788</v>
      </c>
      <c r="N172" s="211">
        <f t="shared" si="49"/>
        <v>-34.533837398140591</v>
      </c>
      <c r="O172" s="210">
        <v>0</v>
      </c>
      <c r="P172" s="210">
        <v>0</v>
      </c>
      <c r="Q172" s="210">
        <v>0</v>
      </c>
      <c r="R172" s="211">
        <f t="shared" si="50"/>
        <v>-34.533837398140591</v>
      </c>
    </row>
    <row r="173" spans="1:19" x14ac:dyDescent="0.25">
      <c r="A173" s="125">
        <v>10</v>
      </c>
      <c r="B173" s="202">
        <f t="shared" si="45"/>
        <v>44105</v>
      </c>
      <c r="C173" s="226">
        <f t="shared" si="54"/>
        <v>44139</v>
      </c>
      <c r="D173" s="226">
        <f t="shared" si="54"/>
        <v>44159</v>
      </c>
      <c r="E173" s="234" t="s">
        <v>54</v>
      </c>
      <c r="F173" s="125">
        <v>9</v>
      </c>
      <c r="G173" s="205">
        <v>11</v>
      </c>
      <c r="H173" s="206">
        <f t="shared" si="46"/>
        <v>8.6960185985294221</v>
      </c>
      <c r="I173" s="206">
        <f t="shared" si="44"/>
        <v>6.3097767616586076</v>
      </c>
      <c r="J173" s="207">
        <f t="shared" si="47"/>
        <v>69.40754437824468</v>
      </c>
      <c r="K173" s="214">
        <f t="shared" si="41"/>
        <v>95.656204583823637</v>
      </c>
      <c r="L173" s="213">
        <f t="shared" si="53"/>
        <v>-26.248660205578958</v>
      </c>
      <c r="M173" s="210">
        <f t="shared" si="48"/>
        <v>-0.88506917867435475</v>
      </c>
      <c r="N173" s="211">
        <f t="shared" si="49"/>
        <v>-27.133729384253311</v>
      </c>
      <c r="O173" s="210">
        <v>0</v>
      </c>
      <c r="P173" s="210">
        <v>0</v>
      </c>
      <c r="Q173" s="210">
        <v>0</v>
      </c>
      <c r="R173" s="211">
        <f t="shared" si="50"/>
        <v>-27.133729384253311</v>
      </c>
    </row>
    <row r="174" spans="1:19" x14ac:dyDescent="0.25">
      <c r="A174" s="163">
        <v>11</v>
      </c>
      <c r="B174" s="202">
        <f t="shared" si="45"/>
        <v>44136</v>
      </c>
      <c r="C174" s="226">
        <f t="shared" si="54"/>
        <v>44168</v>
      </c>
      <c r="D174" s="226">
        <f t="shared" si="54"/>
        <v>44189</v>
      </c>
      <c r="E174" s="234" t="s">
        <v>54</v>
      </c>
      <c r="F174" s="125">
        <v>9</v>
      </c>
      <c r="G174" s="205">
        <v>9</v>
      </c>
      <c r="H174" s="206">
        <f t="shared" si="46"/>
        <v>8.6960185985294221</v>
      </c>
      <c r="I174" s="206">
        <f t="shared" si="44"/>
        <v>6.3097767616586076</v>
      </c>
      <c r="J174" s="207">
        <f t="shared" si="47"/>
        <v>56.787990854927472</v>
      </c>
      <c r="K174" s="214">
        <f t="shared" si="41"/>
        <v>78.264167386764797</v>
      </c>
      <c r="L174" s="213">
        <f t="shared" si="53"/>
        <v>-21.476176531837325</v>
      </c>
      <c r="M174" s="210">
        <f t="shared" si="48"/>
        <v>-0.72414750982447207</v>
      </c>
      <c r="N174" s="211">
        <f t="shared" si="49"/>
        <v>-22.200324041661798</v>
      </c>
      <c r="O174" s="210">
        <v>0</v>
      </c>
      <c r="P174" s="210">
        <v>0</v>
      </c>
      <c r="Q174" s="210">
        <v>0</v>
      </c>
      <c r="R174" s="211">
        <f t="shared" si="50"/>
        <v>-22.200324041661798</v>
      </c>
    </row>
    <row r="175" spans="1:19" s="230" customFormat="1" x14ac:dyDescent="0.25">
      <c r="A175" s="163">
        <v>12</v>
      </c>
      <c r="B175" s="228">
        <f t="shared" si="45"/>
        <v>44166</v>
      </c>
      <c r="C175" s="226">
        <f t="shared" si="54"/>
        <v>44202</v>
      </c>
      <c r="D175" s="226">
        <f t="shared" si="54"/>
        <v>44221</v>
      </c>
      <c r="E175" s="235" t="s">
        <v>54</v>
      </c>
      <c r="F175" s="174">
        <v>9</v>
      </c>
      <c r="G175" s="217">
        <v>8</v>
      </c>
      <c r="H175" s="218">
        <f t="shared" si="46"/>
        <v>8.6960185985294221</v>
      </c>
      <c r="I175" s="218">
        <f t="shared" si="44"/>
        <v>6.3097767616586076</v>
      </c>
      <c r="J175" s="219">
        <f t="shared" si="47"/>
        <v>50.478214093268861</v>
      </c>
      <c r="K175" s="220">
        <f t="shared" si="41"/>
        <v>69.568148788235376</v>
      </c>
      <c r="L175" s="221">
        <f t="shared" si="53"/>
        <v>-19.089934694966516</v>
      </c>
      <c r="M175" s="210">
        <f t="shared" si="48"/>
        <v>-0.64368667539953073</v>
      </c>
      <c r="N175" s="211">
        <f t="shared" si="49"/>
        <v>-19.733621370366045</v>
      </c>
      <c r="O175" s="210">
        <v>0</v>
      </c>
      <c r="P175" s="210">
        <v>0</v>
      </c>
      <c r="Q175" s="210">
        <v>0</v>
      </c>
      <c r="R175" s="211">
        <f t="shared" si="50"/>
        <v>-19.733621370366045</v>
      </c>
    </row>
    <row r="176" spans="1:19" x14ac:dyDescent="0.25">
      <c r="A176" s="125">
        <v>1</v>
      </c>
      <c r="B176" s="202">
        <f t="shared" si="45"/>
        <v>43831</v>
      </c>
      <c r="C176" s="223">
        <f t="shared" ref="C176:D187" si="55">+C152</f>
        <v>43866</v>
      </c>
      <c r="D176" s="223">
        <f t="shared" si="55"/>
        <v>43885</v>
      </c>
      <c r="E176" s="233" t="s">
        <v>55</v>
      </c>
      <c r="F176" s="163">
        <v>9</v>
      </c>
      <c r="G176" s="205">
        <v>20</v>
      </c>
      <c r="H176" s="206">
        <f t="shared" si="46"/>
        <v>8.6960185985294221</v>
      </c>
      <c r="I176" s="206">
        <f t="shared" si="44"/>
        <v>6.3097767616586076</v>
      </c>
      <c r="J176" s="207">
        <f t="shared" si="47"/>
        <v>126.19553523317215</v>
      </c>
      <c r="K176" s="208">
        <f t="shared" si="41"/>
        <v>173.92037197058843</v>
      </c>
      <c r="L176" s="209">
        <f t="shared" si="53"/>
        <v>-47.724836737416283</v>
      </c>
      <c r="M176" s="210">
        <f t="shared" si="48"/>
        <v>-1.6092166884988268</v>
      </c>
      <c r="N176" s="211">
        <f t="shared" si="49"/>
        <v>-49.334053425915108</v>
      </c>
      <c r="O176" s="210">
        <v>0</v>
      </c>
      <c r="P176" s="210">
        <v>0</v>
      </c>
      <c r="Q176" s="210">
        <v>0</v>
      </c>
      <c r="R176" s="211">
        <f t="shared" si="50"/>
        <v>-49.334053425915108</v>
      </c>
    </row>
    <row r="177" spans="1:18" x14ac:dyDescent="0.25">
      <c r="A177" s="163">
        <v>2</v>
      </c>
      <c r="B177" s="202">
        <f t="shared" si="45"/>
        <v>43862</v>
      </c>
      <c r="C177" s="226">
        <f t="shared" si="55"/>
        <v>43894</v>
      </c>
      <c r="D177" s="226">
        <f t="shared" si="55"/>
        <v>43914</v>
      </c>
      <c r="E177" s="54" t="s">
        <v>55</v>
      </c>
      <c r="F177" s="163">
        <v>9</v>
      </c>
      <c r="G177" s="205">
        <v>19</v>
      </c>
      <c r="H177" s="206">
        <f t="shared" si="46"/>
        <v>8.6960185985294221</v>
      </c>
      <c r="I177" s="206">
        <f t="shared" si="44"/>
        <v>6.3097767616586076</v>
      </c>
      <c r="J177" s="207">
        <f t="shared" si="47"/>
        <v>119.88575847151354</v>
      </c>
      <c r="K177" s="208">
        <f t="shared" si="41"/>
        <v>165.22435337205903</v>
      </c>
      <c r="L177" s="209">
        <f t="shared" si="53"/>
        <v>-45.338594900545488</v>
      </c>
      <c r="M177" s="210">
        <f t="shared" si="48"/>
        <v>-1.5287558540738855</v>
      </c>
      <c r="N177" s="211">
        <f t="shared" si="49"/>
        <v>-46.867350754619373</v>
      </c>
      <c r="O177" s="210">
        <v>0</v>
      </c>
      <c r="P177" s="210">
        <v>0</v>
      </c>
      <c r="Q177" s="210">
        <v>0</v>
      </c>
      <c r="R177" s="211">
        <f t="shared" si="50"/>
        <v>-46.867350754619373</v>
      </c>
    </row>
    <row r="178" spans="1:18" x14ac:dyDescent="0.25">
      <c r="A178" s="163">
        <v>3</v>
      </c>
      <c r="B178" s="202">
        <f t="shared" si="45"/>
        <v>43891</v>
      </c>
      <c r="C178" s="226">
        <f t="shared" si="55"/>
        <v>43924</v>
      </c>
      <c r="D178" s="226">
        <f t="shared" si="55"/>
        <v>43945</v>
      </c>
      <c r="E178" s="54" t="s">
        <v>55</v>
      </c>
      <c r="F178" s="163">
        <v>9</v>
      </c>
      <c r="G178" s="205">
        <v>19</v>
      </c>
      <c r="H178" s="206">
        <f t="shared" si="46"/>
        <v>8.6960185985294221</v>
      </c>
      <c r="I178" s="206">
        <f t="shared" si="44"/>
        <v>6.3097767616586076</v>
      </c>
      <c r="J178" s="207">
        <f t="shared" si="47"/>
        <v>119.88575847151354</v>
      </c>
      <c r="K178" s="208">
        <f t="shared" si="41"/>
        <v>165.22435337205903</v>
      </c>
      <c r="L178" s="209">
        <f>+J178-K178</f>
        <v>-45.338594900545488</v>
      </c>
      <c r="M178" s="210">
        <f t="shared" si="48"/>
        <v>-1.5287558540738855</v>
      </c>
      <c r="N178" s="211">
        <f t="shared" si="49"/>
        <v>-46.867350754619373</v>
      </c>
      <c r="O178" s="210">
        <v>0</v>
      </c>
      <c r="P178" s="210">
        <v>0</v>
      </c>
      <c r="Q178" s="210">
        <v>0</v>
      </c>
      <c r="R178" s="211">
        <f t="shared" si="50"/>
        <v>-46.867350754619373</v>
      </c>
    </row>
    <row r="179" spans="1:18" x14ac:dyDescent="0.25">
      <c r="A179" s="125">
        <v>4</v>
      </c>
      <c r="B179" s="202">
        <f t="shared" si="45"/>
        <v>43922</v>
      </c>
      <c r="C179" s="226">
        <f t="shared" si="55"/>
        <v>43956</v>
      </c>
      <c r="D179" s="226">
        <f t="shared" si="55"/>
        <v>43976</v>
      </c>
      <c r="E179" s="54" t="s">
        <v>55</v>
      </c>
      <c r="F179" s="163">
        <v>9</v>
      </c>
      <c r="G179" s="205">
        <v>21</v>
      </c>
      <c r="H179" s="206">
        <f t="shared" si="46"/>
        <v>8.6960185985294221</v>
      </c>
      <c r="I179" s="206">
        <f t="shared" si="44"/>
        <v>6.3097767616586076</v>
      </c>
      <c r="J179" s="207">
        <f t="shared" si="47"/>
        <v>132.50531199483075</v>
      </c>
      <c r="K179" s="208">
        <f t="shared" si="41"/>
        <v>182.61639056911787</v>
      </c>
      <c r="L179" s="209">
        <f t="shared" ref="L179:L189" si="56">+J179-K179</f>
        <v>-50.11107857428712</v>
      </c>
      <c r="M179" s="210">
        <f t="shared" si="48"/>
        <v>-1.6896775229237679</v>
      </c>
      <c r="N179" s="211">
        <f t="shared" si="49"/>
        <v>-51.800756097210886</v>
      </c>
      <c r="O179" s="210">
        <v>0</v>
      </c>
      <c r="P179" s="210">
        <v>0</v>
      </c>
      <c r="Q179" s="210">
        <v>0</v>
      </c>
      <c r="R179" s="211">
        <f t="shared" si="50"/>
        <v>-51.800756097210886</v>
      </c>
    </row>
    <row r="180" spans="1:18" x14ac:dyDescent="0.25">
      <c r="A180" s="163">
        <v>5</v>
      </c>
      <c r="B180" s="202">
        <f t="shared" si="45"/>
        <v>43952</v>
      </c>
      <c r="C180" s="226">
        <f t="shared" si="55"/>
        <v>43985</v>
      </c>
      <c r="D180" s="226">
        <f t="shared" si="55"/>
        <v>44006</v>
      </c>
      <c r="E180" s="54" t="s">
        <v>55</v>
      </c>
      <c r="F180" s="163">
        <v>9</v>
      </c>
      <c r="G180" s="205">
        <v>23</v>
      </c>
      <c r="H180" s="206">
        <f t="shared" si="46"/>
        <v>8.6960185985294221</v>
      </c>
      <c r="I180" s="206">
        <f t="shared" ref="I180:I211" si="57">$J$3</f>
        <v>6.3097767616586076</v>
      </c>
      <c r="J180" s="207">
        <f t="shared" si="47"/>
        <v>145.12486551814797</v>
      </c>
      <c r="K180" s="208">
        <f t="shared" si="41"/>
        <v>200.00842776617671</v>
      </c>
      <c r="L180" s="209">
        <f t="shared" si="56"/>
        <v>-54.883562248028738</v>
      </c>
      <c r="M180" s="210">
        <f t="shared" si="48"/>
        <v>-1.8505991917736506</v>
      </c>
      <c r="N180" s="211">
        <f t="shared" si="49"/>
        <v>-56.734161439802392</v>
      </c>
      <c r="O180" s="210">
        <v>0</v>
      </c>
      <c r="P180" s="210">
        <v>0</v>
      </c>
      <c r="Q180" s="210">
        <v>0</v>
      </c>
      <c r="R180" s="211">
        <f t="shared" si="50"/>
        <v>-56.734161439802392</v>
      </c>
    </row>
    <row r="181" spans="1:18" x14ac:dyDescent="0.25">
      <c r="A181" s="163">
        <v>6</v>
      </c>
      <c r="B181" s="202">
        <f t="shared" si="45"/>
        <v>43983</v>
      </c>
      <c r="C181" s="226">
        <f t="shared" si="55"/>
        <v>44015</v>
      </c>
      <c r="D181" s="226">
        <f t="shared" si="55"/>
        <v>44036</v>
      </c>
      <c r="E181" s="54" t="s">
        <v>55</v>
      </c>
      <c r="F181" s="163">
        <v>9</v>
      </c>
      <c r="G181" s="205">
        <v>29</v>
      </c>
      <c r="H181" s="206">
        <f t="shared" si="46"/>
        <v>8.6960185985294221</v>
      </c>
      <c r="I181" s="206">
        <f t="shared" si="57"/>
        <v>6.3097767616586076</v>
      </c>
      <c r="J181" s="207">
        <f t="shared" si="47"/>
        <v>182.98352608809961</v>
      </c>
      <c r="K181" s="208">
        <f t="shared" si="41"/>
        <v>252.18453935735323</v>
      </c>
      <c r="L181" s="213">
        <f t="shared" si="56"/>
        <v>-69.201013269253622</v>
      </c>
      <c r="M181" s="210">
        <f t="shared" si="48"/>
        <v>-2.3333641983232987</v>
      </c>
      <c r="N181" s="211">
        <f t="shared" si="49"/>
        <v>-71.534377467576917</v>
      </c>
      <c r="O181" s="210">
        <v>0</v>
      </c>
      <c r="P181" s="210">
        <v>0</v>
      </c>
      <c r="Q181" s="210">
        <v>0</v>
      </c>
      <c r="R181" s="211">
        <f t="shared" si="50"/>
        <v>-71.534377467576917</v>
      </c>
    </row>
    <row r="182" spans="1:18" x14ac:dyDescent="0.25">
      <c r="A182" s="125">
        <v>7</v>
      </c>
      <c r="B182" s="202">
        <f t="shared" si="45"/>
        <v>44013</v>
      </c>
      <c r="C182" s="226">
        <f t="shared" si="55"/>
        <v>44048</v>
      </c>
      <c r="D182" s="226">
        <f t="shared" si="55"/>
        <v>44067</v>
      </c>
      <c r="E182" s="54" t="s">
        <v>55</v>
      </c>
      <c r="F182" s="163">
        <v>9</v>
      </c>
      <c r="G182" s="205">
        <v>33</v>
      </c>
      <c r="H182" s="206">
        <f t="shared" si="46"/>
        <v>8.6960185985294221</v>
      </c>
      <c r="I182" s="206">
        <f t="shared" si="57"/>
        <v>6.3097767616586076</v>
      </c>
      <c r="J182" s="207">
        <f t="shared" si="47"/>
        <v>208.22263313473405</v>
      </c>
      <c r="K182" s="214">
        <f t="shared" si="41"/>
        <v>286.96861375147091</v>
      </c>
      <c r="L182" s="213">
        <f t="shared" si="56"/>
        <v>-78.745980616736858</v>
      </c>
      <c r="M182" s="210">
        <f t="shared" si="48"/>
        <v>-2.655207536023064</v>
      </c>
      <c r="N182" s="211">
        <f t="shared" si="49"/>
        <v>-81.401188152759929</v>
      </c>
      <c r="O182" s="210">
        <v>0</v>
      </c>
      <c r="P182" s="210">
        <v>0</v>
      </c>
      <c r="Q182" s="210">
        <v>0</v>
      </c>
      <c r="R182" s="211">
        <f t="shared" si="50"/>
        <v>-81.401188152759929</v>
      </c>
    </row>
    <row r="183" spans="1:18" x14ac:dyDescent="0.25">
      <c r="A183" s="163">
        <v>8</v>
      </c>
      <c r="B183" s="202">
        <f t="shared" si="45"/>
        <v>44044</v>
      </c>
      <c r="C183" s="226">
        <f t="shared" si="55"/>
        <v>44077</v>
      </c>
      <c r="D183" s="226">
        <f t="shared" si="55"/>
        <v>44098</v>
      </c>
      <c r="E183" s="54" t="s">
        <v>55</v>
      </c>
      <c r="F183" s="163">
        <v>9</v>
      </c>
      <c r="G183" s="205">
        <v>34</v>
      </c>
      <c r="H183" s="206">
        <f t="shared" si="46"/>
        <v>8.6960185985294221</v>
      </c>
      <c r="I183" s="206">
        <f t="shared" si="57"/>
        <v>6.3097767616586076</v>
      </c>
      <c r="J183" s="207">
        <f t="shared" si="47"/>
        <v>214.53240989639266</v>
      </c>
      <c r="K183" s="214">
        <f t="shared" si="41"/>
        <v>295.66463235000037</v>
      </c>
      <c r="L183" s="213">
        <f t="shared" si="56"/>
        <v>-81.13222245360771</v>
      </c>
      <c r="M183" s="210">
        <f t="shared" si="48"/>
        <v>-2.7356683704480056</v>
      </c>
      <c r="N183" s="211">
        <f t="shared" si="49"/>
        <v>-83.867890824055721</v>
      </c>
      <c r="O183" s="210">
        <v>0</v>
      </c>
      <c r="P183" s="210">
        <v>0</v>
      </c>
      <c r="Q183" s="210">
        <v>0</v>
      </c>
      <c r="R183" s="211">
        <f t="shared" si="50"/>
        <v>-83.867890824055721</v>
      </c>
    </row>
    <row r="184" spans="1:18" x14ac:dyDescent="0.25">
      <c r="A184" s="163">
        <v>9</v>
      </c>
      <c r="B184" s="202">
        <f t="shared" si="45"/>
        <v>44075</v>
      </c>
      <c r="C184" s="226">
        <f t="shared" si="55"/>
        <v>44109</v>
      </c>
      <c r="D184" s="226">
        <f t="shared" si="55"/>
        <v>44130</v>
      </c>
      <c r="E184" s="54" t="s">
        <v>55</v>
      </c>
      <c r="F184" s="163">
        <v>9</v>
      </c>
      <c r="G184" s="205">
        <v>30</v>
      </c>
      <c r="H184" s="206">
        <f t="shared" si="46"/>
        <v>8.6960185985294221</v>
      </c>
      <c r="I184" s="206">
        <f t="shared" si="57"/>
        <v>6.3097767616586076</v>
      </c>
      <c r="J184" s="207">
        <f t="shared" si="47"/>
        <v>189.29330284975822</v>
      </c>
      <c r="K184" s="214">
        <f t="shared" si="41"/>
        <v>260.88055795588264</v>
      </c>
      <c r="L184" s="213">
        <f t="shared" si="56"/>
        <v>-71.587255106124417</v>
      </c>
      <c r="M184" s="210">
        <f t="shared" si="48"/>
        <v>-2.4138250327482402</v>
      </c>
      <c r="N184" s="211">
        <f t="shared" si="49"/>
        <v>-74.001080138872652</v>
      </c>
      <c r="O184" s="210">
        <v>0</v>
      </c>
      <c r="P184" s="210">
        <v>0</v>
      </c>
      <c r="Q184" s="210">
        <v>0</v>
      </c>
      <c r="R184" s="211">
        <f t="shared" si="50"/>
        <v>-74.001080138872652</v>
      </c>
    </row>
    <row r="185" spans="1:18" x14ac:dyDescent="0.25">
      <c r="A185" s="125">
        <v>10</v>
      </c>
      <c r="B185" s="202">
        <f t="shared" si="45"/>
        <v>44105</v>
      </c>
      <c r="C185" s="226">
        <f t="shared" si="55"/>
        <v>44139</v>
      </c>
      <c r="D185" s="226">
        <f t="shared" si="55"/>
        <v>44159</v>
      </c>
      <c r="E185" s="54" t="s">
        <v>55</v>
      </c>
      <c r="F185" s="163">
        <v>9</v>
      </c>
      <c r="G185" s="205">
        <v>21</v>
      </c>
      <c r="H185" s="206">
        <f t="shared" si="46"/>
        <v>8.6960185985294221</v>
      </c>
      <c r="I185" s="206">
        <f t="shared" si="57"/>
        <v>6.3097767616586076</v>
      </c>
      <c r="J185" s="207">
        <f t="shared" si="47"/>
        <v>132.50531199483075</v>
      </c>
      <c r="K185" s="214">
        <f t="shared" si="41"/>
        <v>182.61639056911787</v>
      </c>
      <c r="L185" s="213">
        <f t="shared" si="56"/>
        <v>-50.11107857428712</v>
      </c>
      <c r="M185" s="210">
        <f t="shared" si="48"/>
        <v>-1.6896775229237679</v>
      </c>
      <c r="N185" s="211">
        <f t="shared" si="49"/>
        <v>-51.800756097210886</v>
      </c>
      <c r="O185" s="210">
        <v>0</v>
      </c>
      <c r="P185" s="210">
        <v>0</v>
      </c>
      <c r="Q185" s="210">
        <v>0</v>
      </c>
      <c r="R185" s="211">
        <f t="shared" si="50"/>
        <v>-51.800756097210886</v>
      </c>
    </row>
    <row r="186" spans="1:18" x14ac:dyDescent="0.25">
      <c r="A186" s="163">
        <v>11</v>
      </c>
      <c r="B186" s="202">
        <f t="shared" si="45"/>
        <v>44136</v>
      </c>
      <c r="C186" s="226">
        <f t="shared" si="55"/>
        <v>44168</v>
      </c>
      <c r="D186" s="226">
        <f t="shared" si="55"/>
        <v>44189</v>
      </c>
      <c r="E186" s="54" t="s">
        <v>55</v>
      </c>
      <c r="F186" s="163">
        <v>9</v>
      </c>
      <c r="G186" s="205">
        <v>16</v>
      </c>
      <c r="H186" s="206">
        <f t="shared" si="46"/>
        <v>8.6960185985294221</v>
      </c>
      <c r="I186" s="206">
        <f t="shared" si="57"/>
        <v>6.3097767616586076</v>
      </c>
      <c r="J186" s="207">
        <f t="shared" si="47"/>
        <v>100.95642818653772</v>
      </c>
      <c r="K186" s="214">
        <f t="shared" si="41"/>
        <v>139.13629757647075</v>
      </c>
      <c r="L186" s="213">
        <f t="shared" si="56"/>
        <v>-38.179869389933032</v>
      </c>
      <c r="M186" s="210">
        <f t="shared" si="48"/>
        <v>-1.2873733507990615</v>
      </c>
      <c r="N186" s="211">
        <f t="shared" si="49"/>
        <v>-39.46724274073209</v>
      </c>
      <c r="O186" s="210">
        <v>0</v>
      </c>
      <c r="P186" s="210">
        <v>0</v>
      </c>
      <c r="Q186" s="210">
        <v>0</v>
      </c>
      <c r="R186" s="211">
        <f t="shared" si="50"/>
        <v>-39.46724274073209</v>
      </c>
    </row>
    <row r="187" spans="1:18" s="230" customFormat="1" x14ac:dyDescent="0.25">
      <c r="A187" s="163">
        <v>12</v>
      </c>
      <c r="B187" s="228">
        <f t="shared" si="45"/>
        <v>44166</v>
      </c>
      <c r="C187" s="226">
        <f t="shared" si="55"/>
        <v>44202</v>
      </c>
      <c r="D187" s="226">
        <f t="shared" si="55"/>
        <v>44221</v>
      </c>
      <c r="E187" s="229" t="s">
        <v>55</v>
      </c>
      <c r="F187" s="174">
        <v>9</v>
      </c>
      <c r="G187" s="217">
        <v>19</v>
      </c>
      <c r="H187" s="218">
        <f t="shared" si="46"/>
        <v>8.6960185985294221</v>
      </c>
      <c r="I187" s="218">
        <f t="shared" si="57"/>
        <v>6.3097767616586076</v>
      </c>
      <c r="J187" s="219">
        <f t="shared" si="47"/>
        <v>119.88575847151354</v>
      </c>
      <c r="K187" s="220">
        <f t="shared" si="41"/>
        <v>165.22435337205903</v>
      </c>
      <c r="L187" s="221">
        <f t="shared" si="56"/>
        <v>-45.338594900545488</v>
      </c>
      <c r="M187" s="210">
        <f t="shared" si="48"/>
        <v>-1.5287558540738855</v>
      </c>
      <c r="N187" s="211">
        <f t="shared" si="49"/>
        <v>-46.867350754619373</v>
      </c>
      <c r="O187" s="210">
        <v>0</v>
      </c>
      <c r="P187" s="210">
        <v>0</v>
      </c>
      <c r="Q187" s="210">
        <v>0</v>
      </c>
      <c r="R187" s="211">
        <f t="shared" si="50"/>
        <v>-46.867350754619373</v>
      </c>
    </row>
    <row r="188" spans="1:18" x14ac:dyDescent="0.25">
      <c r="A188" s="125">
        <v>1</v>
      </c>
      <c r="B188" s="202">
        <f t="shared" si="45"/>
        <v>43831</v>
      </c>
      <c r="C188" s="223">
        <f t="shared" ref="C188:D211" si="58">+C176</f>
        <v>43866</v>
      </c>
      <c r="D188" s="223">
        <f t="shared" si="58"/>
        <v>43885</v>
      </c>
      <c r="E188" s="204" t="s">
        <v>56</v>
      </c>
      <c r="F188" s="125">
        <v>9</v>
      </c>
      <c r="G188" s="205">
        <v>35</v>
      </c>
      <c r="H188" s="206">
        <f t="shared" si="46"/>
        <v>8.6960185985294221</v>
      </c>
      <c r="I188" s="206">
        <f t="shared" si="57"/>
        <v>6.3097767616586076</v>
      </c>
      <c r="J188" s="207">
        <f t="shared" si="47"/>
        <v>220.84218665805128</v>
      </c>
      <c r="K188" s="208">
        <f t="shared" si="41"/>
        <v>304.36065094852978</v>
      </c>
      <c r="L188" s="209">
        <f t="shared" si="56"/>
        <v>-83.518464290478505</v>
      </c>
      <c r="M188" s="210">
        <f t="shared" si="48"/>
        <v>-2.8161292048729467</v>
      </c>
      <c r="N188" s="211">
        <f t="shared" si="49"/>
        <v>-86.334593495351456</v>
      </c>
      <c r="O188" s="210">
        <v>0</v>
      </c>
      <c r="P188" s="210">
        <v>0</v>
      </c>
      <c r="Q188" s="210">
        <v>0</v>
      </c>
      <c r="R188" s="211">
        <f t="shared" si="50"/>
        <v>-86.334593495351456</v>
      </c>
    </row>
    <row r="189" spans="1:18" x14ac:dyDescent="0.25">
      <c r="A189" s="163">
        <v>2</v>
      </c>
      <c r="B189" s="202">
        <f t="shared" si="45"/>
        <v>43862</v>
      </c>
      <c r="C189" s="226">
        <f t="shared" si="58"/>
        <v>43894</v>
      </c>
      <c r="D189" s="226">
        <f t="shared" si="58"/>
        <v>43914</v>
      </c>
      <c r="E189" s="212" t="s">
        <v>56</v>
      </c>
      <c r="F189" s="163">
        <v>9</v>
      </c>
      <c r="G189" s="205">
        <v>34</v>
      </c>
      <c r="H189" s="206">
        <f t="shared" si="46"/>
        <v>8.6960185985294221</v>
      </c>
      <c r="I189" s="206">
        <f t="shared" si="57"/>
        <v>6.3097767616586076</v>
      </c>
      <c r="J189" s="207">
        <f t="shared" si="47"/>
        <v>214.53240989639266</v>
      </c>
      <c r="K189" s="208">
        <f t="shared" si="41"/>
        <v>295.66463235000037</v>
      </c>
      <c r="L189" s="209">
        <f t="shared" si="56"/>
        <v>-81.13222245360771</v>
      </c>
      <c r="M189" s="210">
        <f t="shared" si="48"/>
        <v>-2.7356683704480056</v>
      </c>
      <c r="N189" s="211">
        <f t="shared" si="49"/>
        <v>-83.867890824055721</v>
      </c>
      <c r="O189" s="210">
        <v>0</v>
      </c>
      <c r="P189" s="210">
        <v>0</v>
      </c>
      <c r="Q189" s="210">
        <v>0</v>
      </c>
      <c r="R189" s="211">
        <f t="shared" si="50"/>
        <v>-83.867890824055721</v>
      </c>
    </row>
    <row r="190" spans="1:18" x14ac:dyDescent="0.25">
      <c r="A190" s="163">
        <v>3</v>
      </c>
      <c r="B190" s="202">
        <f t="shared" si="45"/>
        <v>43891</v>
      </c>
      <c r="C190" s="226">
        <f t="shared" si="58"/>
        <v>43924</v>
      </c>
      <c r="D190" s="226">
        <f t="shared" si="58"/>
        <v>43945</v>
      </c>
      <c r="E190" s="212" t="s">
        <v>56</v>
      </c>
      <c r="F190" s="163">
        <v>9</v>
      </c>
      <c r="G190" s="205">
        <v>30</v>
      </c>
      <c r="H190" s="206">
        <f t="shared" si="46"/>
        <v>8.6960185985294221</v>
      </c>
      <c r="I190" s="206">
        <f t="shared" si="57"/>
        <v>6.3097767616586076</v>
      </c>
      <c r="J190" s="207">
        <f t="shared" si="47"/>
        <v>189.29330284975822</v>
      </c>
      <c r="K190" s="208">
        <f t="shared" si="41"/>
        <v>260.88055795588264</v>
      </c>
      <c r="L190" s="209">
        <f>+J190-K190</f>
        <v>-71.587255106124417</v>
      </c>
      <c r="M190" s="210">
        <f t="shared" si="48"/>
        <v>-2.4138250327482402</v>
      </c>
      <c r="N190" s="211">
        <f t="shared" si="49"/>
        <v>-74.001080138872652</v>
      </c>
      <c r="O190" s="210">
        <v>0</v>
      </c>
      <c r="P190" s="210">
        <v>0</v>
      </c>
      <c r="Q190" s="210">
        <v>0</v>
      </c>
      <c r="R190" s="211">
        <f t="shared" si="50"/>
        <v>-74.001080138872652</v>
      </c>
    </row>
    <row r="191" spans="1:18" x14ac:dyDescent="0.25">
      <c r="A191" s="125">
        <v>4</v>
      </c>
      <c r="B191" s="202">
        <f t="shared" si="45"/>
        <v>43922</v>
      </c>
      <c r="C191" s="226">
        <f t="shared" si="58"/>
        <v>43956</v>
      </c>
      <c r="D191" s="226">
        <f t="shared" si="58"/>
        <v>43976</v>
      </c>
      <c r="E191" s="54" t="s">
        <v>56</v>
      </c>
      <c r="F191" s="163">
        <v>9</v>
      </c>
      <c r="G191" s="205">
        <v>32</v>
      </c>
      <c r="H191" s="206">
        <f t="shared" si="46"/>
        <v>8.6960185985294221</v>
      </c>
      <c r="I191" s="206">
        <f t="shared" si="57"/>
        <v>6.3097767616586076</v>
      </c>
      <c r="J191" s="207">
        <f t="shared" si="47"/>
        <v>201.91285637307544</v>
      </c>
      <c r="K191" s="208">
        <f t="shared" si="41"/>
        <v>278.27259515294151</v>
      </c>
      <c r="L191" s="209">
        <f t="shared" ref="L191:L201" si="59">+J191-K191</f>
        <v>-76.359738779866063</v>
      </c>
      <c r="M191" s="210">
        <f t="shared" si="48"/>
        <v>-2.5747467015981229</v>
      </c>
      <c r="N191" s="211">
        <f t="shared" si="49"/>
        <v>-78.934485481464179</v>
      </c>
      <c r="O191" s="210">
        <v>0</v>
      </c>
      <c r="P191" s="210">
        <v>0</v>
      </c>
      <c r="Q191" s="210">
        <v>0</v>
      </c>
      <c r="R191" s="211">
        <f t="shared" si="50"/>
        <v>-78.934485481464179</v>
      </c>
    </row>
    <row r="192" spans="1:18" x14ac:dyDescent="0.25">
      <c r="A192" s="163">
        <v>5</v>
      </c>
      <c r="B192" s="202">
        <f t="shared" si="45"/>
        <v>43952</v>
      </c>
      <c r="C192" s="226">
        <f t="shared" si="58"/>
        <v>43985</v>
      </c>
      <c r="D192" s="226">
        <f t="shared" si="58"/>
        <v>44006</v>
      </c>
      <c r="E192" s="54" t="s">
        <v>56</v>
      </c>
      <c r="F192" s="163">
        <v>9</v>
      </c>
      <c r="G192" s="205">
        <v>36</v>
      </c>
      <c r="H192" s="206">
        <f t="shared" si="46"/>
        <v>8.6960185985294221</v>
      </c>
      <c r="I192" s="206">
        <f t="shared" si="57"/>
        <v>6.3097767616586076</v>
      </c>
      <c r="J192" s="207">
        <f t="shared" si="47"/>
        <v>227.15196341970989</v>
      </c>
      <c r="K192" s="208">
        <f t="shared" si="41"/>
        <v>313.05666954705919</v>
      </c>
      <c r="L192" s="209">
        <f t="shared" si="59"/>
        <v>-85.9047061273493</v>
      </c>
      <c r="M192" s="210">
        <f t="shared" si="48"/>
        <v>-2.8965900392978883</v>
      </c>
      <c r="N192" s="211">
        <f t="shared" si="49"/>
        <v>-88.801296166647191</v>
      </c>
      <c r="O192" s="210">
        <v>0</v>
      </c>
      <c r="P192" s="210">
        <v>0</v>
      </c>
      <c r="Q192" s="210">
        <v>0</v>
      </c>
      <c r="R192" s="211">
        <f t="shared" si="50"/>
        <v>-88.801296166647191</v>
      </c>
    </row>
    <row r="193" spans="1:18" x14ac:dyDescent="0.25">
      <c r="A193" s="163">
        <v>6</v>
      </c>
      <c r="B193" s="202">
        <f t="shared" si="45"/>
        <v>43983</v>
      </c>
      <c r="C193" s="226">
        <f t="shared" si="58"/>
        <v>44015</v>
      </c>
      <c r="D193" s="226">
        <f t="shared" si="58"/>
        <v>44036</v>
      </c>
      <c r="E193" s="54" t="s">
        <v>56</v>
      </c>
      <c r="F193" s="163">
        <v>9</v>
      </c>
      <c r="G193" s="205">
        <v>42</v>
      </c>
      <c r="H193" s="206">
        <f t="shared" si="46"/>
        <v>8.6960185985294221</v>
      </c>
      <c r="I193" s="206">
        <f t="shared" si="57"/>
        <v>6.3097767616586076</v>
      </c>
      <c r="J193" s="207">
        <f t="shared" si="47"/>
        <v>265.0106239896615</v>
      </c>
      <c r="K193" s="208">
        <f t="shared" si="41"/>
        <v>365.23278113823574</v>
      </c>
      <c r="L193" s="213">
        <f t="shared" si="59"/>
        <v>-100.22215714857424</v>
      </c>
      <c r="M193" s="210">
        <f t="shared" si="48"/>
        <v>-3.3793550458475359</v>
      </c>
      <c r="N193" s="211">
        <f t="shared" si="49"/>
        <v>-103.60151219442177</v>
      </c>
      <c r="O193" s="210">
        <v>0</v>
      </c>
      <c r="P193" s="210">
        <v>0</v>
      </c>
      <c r="Q193" s="210">
        <v>0</v>
      </c>
      <c r="R193" s="211">
        <f t="shared" si="50"/>
        <v>-103.60151219442177</v>
      </c>
    </row>
    <row r="194" spans="1:18" x14ac:dyDescent="0.25">
      <c r="A194" s="125">
        <v>7</v>
      </c>
      <c r="B194" s="202">
        <f t="shared" si="45"/>
        <v>44013</v>
      </c>
      <c r="C194" s="226">
        <f t="shared" si="58"/>
        <v>44048</v>
      </c>
      <c r="D194" s="226">
        <f t="shared" si="58"/>
        <v>44067</v>
      </c>
      <c r="E194" s="54" t="s">
        <v>56</v>
      </c>
      <c r="F194" s="163">
        <v>9</v>
      </c>
      <c r="G194" s="205">
        <v>47</v>
      </c>
      <c r="H194" s="206">
        <f t="shared" si="46"/>
        <v>8.6960185985294221</v>
      </c>
      <c r="I194" s="206">
        <f t="shared" si="57"/>
        <v>6.3097767616586076</v>
      </c>
      <c r="J194" s="207">
        <f t="shared" si="47"/>
        <v>296.55950779795455</v>
      </c>
      <c r="K194" s="214">
        <f t="shared" si="41"/>
        <v>408.71287413088282</v>
      </c>
      <c r="L194" s="213">
        <f t="shared" si="59"/>
        <v>-112.15336633292827</v>
      </c>
      <c r="M194" s="210">
        <f t="shared" si="48"/>
        <v>-3.7816592179722432</v>
      </c>
      <c r="N194" s="211">
        <f t="shared" si="49"/>
        <v>-115.93502555090052</v>
      </c>
      <c r="O194" s="210">
        <v>0</v>
      </c>
      <c r="P194" s="210">
        <v>0</v>
      </c>
      <c r="Q194" s="210">
        <v>0</v>
      </c>
      <c r="R194" s="211">
        <f t="shared" si="50"/>
        <v>-115.93502555090052</v>
      </c>
    </row>
    <row r="195" spans="1:18" x14ac:dyDescent="0.25">
      <c r="A195" s="163">
        <v>8</v>
      </c>
      <c r="B195" s="202">
        <f t="shared" si="45"/>
        <v>44044</v>
      </c>
      <c r="C195" s="226">
        <f t="shared" si="58"/>
        <v>44077</v>
      </c>
      <c r="D195" s="226">
        <f t="shared" si="58"/>
        <v>44098</v>
      </c>
      <c r="E195" s="54" t="s">
        <v>56</v>
      </c>
      <c r="F195" s="163">
        <v>9</v>
      </c>
      <c r="G195" s="205">
        <v>48</v>
      </c>
      <c r="H195" s="206">
        <f t="shared" si="46"/>
        <v>8.6960185985294221</v>
      </c>
      <c r="I195" s="206">
        <f t="shared" si="57"/>
        <v>6.3097767616586076</v>
      </c>
      <c r="J195" s="207">
        <f t="shared" si="47"/>
        <v>302.86928455961316</v>
      </c>
      <c r="K195" s="214">
        <f t="shared" si="41"/>
        <v>417.40889272941229</v>
      </c>
      <c r="L195" s="213">
        <f t="shared" si="59"/>
        <v>-114.53960816979912</v>
      </c>
      <c r="M195" s="210">
        <f t="shared" si="48"/>
        <v>-3.8621200523971839</v>
      </c>
      <c r="N195" s="211">
        <f t="shared" si="49"/>
        <v>-118.40172822219631</v>
      </c>
      <c r="O195" s="210">
        <v>0</v>
      </c>
      <c r="P195" s="210">
        <v>0</v>
      </c>
      <c r="Q195" s="210">
        <v>0</v>
      </c>
      <c r="R195" s="211">
        <f t="shared" si="50"/>
        <v>-118.40172822219631</v>
      </c>
    </row>
    <row r="196" spans="1:18" x14ac:dyDescent="0.25">
      <c r="A196" s="163">
        <v>9</v>
      </c>
      <c r="B196" s="202">
        <f t="shared" si="45"/>
        <v>44075</v>
      </c>
      <c r="C196" s="226">
        <f t="shared" si="58"/>
        <v>44109</v>
      </c>
      <c r="D196" s="226">
        <f t="shared" si="58"/>
        <v>44130</v>
      </c>
      <c r="E196" s="54" t="s">
        <v>56</v>
      </c>
      <c r="F196" s="163">
        <v>9</v>
      </c>
      <c r="G196" s="205">
        <v>44</v>
      </c>
      <c r="H196" s="206">
        <f t="shared" si="46"/>
        <v>8.6960185985294221</v>
      </c>
      <c r="I196" s="206">
        <f t="shared" si="57"/>
        <v>6.3097767616586076</v>
      </c>
      <c r="J196" s="207">
        <f t="shared" si="47"/>
        <v>277.63017751297872</v>
      </c>
      <c r="K196" s="214">
        <f t="shared" si="41"/>
        <v>382.62481833529455</v>
      </c>
      <c r="L196" s="213">
        <f t="shared" si="59"/>
        <v>-104.99464082231583</v>
      </c>
      <c r="M196" s="210">
        <f t="shared" si="48"/>
        <v>-3.540276714697419</v>
      </c>
      <c r="N196" s="211">
        <f t="shared" si="49"/>
        <v>-108.53491753701324</v>
      </c>
      <c r="O196" s="210">
        <v>0</v>
      </c>
      <c r="P196" s="210">
        <v>0</v>
      </c>
      <c r="Q196" s="210">
        <v>0</v>
      </c>
      <c r="R196" s="211">
        <f t="shared" si="50"/>
        <v>-108.53491753701324</v>
      </c>
    </row>
    <row r="197" spans="1:18" x14ac:dyDescent="0.25">
      <c r="A197" s="125">
        <v>10</v>
      </c>
      <c r="B197" s="202">
        <f t="shared" si="45"/>
        <v>44105</v>
      </c>
      <c r="C197" s="226">
        <f t="shared" si="58"/>
        <v>44139</v>
      </c>
      <c r="D197" s="226">
        <f t="shared" si="58"/>
        <v>44159</v>
      </c>
      <c r="E197" s="54" t="s">
        <v>56</v>
      </c>
      <c r="F197" s="163">
        <v>9</v>
      </c>
      <c r="G197" s="205">
        <v>30</v>
      </c>
      <c r="H197" s="206">
        <f t="shared" si="46"/>
        <v>8.6960185985294221</v>
      </c>
      <c r="I197" s="206">
        <f t="shared" si="57"/>
        <v>6.3097767616586076</v>
      </c>
      <c r="J197" s="207">
        <f t="shared" si="47"/>
        <v>189.29330284975822</v>
      </c>
      <c r="K197" s="214">
        <f t="shared" si="41"/>
        <v>260.88055795588264</v>
      </c>
      <c r="L197" s="213">
        <f t="shared" si="59"/>
        <v>-71.587255106124417</v>
      </c>
      <c r="M197" s="210">
        <f t="shared" si="48"/>
        <v>-2.4138250327482402</v>
      </c>
      <c r="N197" s="211">
        <f t="shared" si="49"/>
        <v>-74.001080138872652</v>
      </c>
      <c r="O197" s="210">
        <v>0</v>
      </c>
      <c r="P197" s="210">
        <v>0</v>
      </c>
      <c r="Q197" s="210">
        <v>0</v>
      </c>
      <c r="R197" s="211">
        <f t="shared" si="50"/>
        <v>-74.001080138872652</v>
      </c>
    </row>
    <row r="198" spans="1:18" x14ac:dyDescent="0.25">
      <c r="A198" s="163">
        <v>11</v>
      </c>
      <c r="B198" s="202">
        <f t="shared" si="45"/>
        <v>44136</v>
      </c>
      <c r="C198" s="226">
        <f t="shared" si="58"/>
        <v>44168</v>
      </c>
      <c r="D198" s="226">
        <f t="shared" si="58"/>
        <v>44189</v>
      </c>
      <c r="E198" s="54" t="s">
        <v>56</v>
      </c>
      <c r="F198" s="163">
        <v>9</v>
      </c>
      <c r="G198" s="205">
        <v>31</v>
      </c>
      <c r="H198" s="206">
        <f t="shared" si="46"/>
        <v>8.6960185985294221</v>
      </c>
      <c r="I198" s="206">
        <f t="shared" si="57"/>
        <v>6.3097767616586076</v>
      </c>
      <c r="J198" s="207">
        <f t="shared" si="47"/>
        <v>195.60307961141683</v>
      </c>
      <c r="K198" s="214">
        <f t="shared" ref="K198:K209" si="60">+$G198*H198</f>
        <v>269.5765765544121</v>
      </c>
      <c r="L198" s="213">
        <f t="shared" si="59"/>
        <v>-73.973496942995268</v>
      </c>
      <c r="M198" s="210">
        <f t="shared" si="48"/>
        <v>-2.4942858671731813</v>
      </c>
      <c r="N198" s="211">
        <f t="shared" si="49"/>
        <v>-76.467782810168444</v>
      </c>
      <c r="O198" s="210">
        <v>0</v>
      </c>
      <c r="P198" s="210">
        <v>0</v>
      </c>
      <c r="Q198" s="210">
        <v>0</v>
      </c>
      <c r="R198" s="211">
        <f t="shared" si="50"/>
        <v>-76.467782810168444</v>
      </c>
    </row>
    <row r="199" spans="1:18" s="230" customFormat="1" x14ac:dyDescent="0.25">
      <c r="A199" s="163">
        <v>12</v>
      </c>
      <c r="B199" s="228">
        <f t="shared" si="45"/>
        <v>44166</v>
      </c>
      <c r="C199" s="226">
        <f t="shared" si="58"/>
        <v>44202</v>
      </c>
      <c r="D199" s="226">
        <f t="shared" si="58"/>
        <v>44221</v>
      </c>
      <c r="E199" s="229" t="s">
        <v>56</v>
      </c>
      <c r="F199" s="174">
        <v>9</v>
      </c>
      <c r="G199" s="217">
        <v>34</v>
      </c>
      <c r="H199" s="218">
        <f t="shared" si="46"/>
        <v>8.6960185985294221</v>
      </c>
      <c r="I199" s="218">
        <f t="shared" si="57"/>
        <v>6.3097767616586076</v>
      </c>
      <c r="J199" s="219">
        <f t="shared" si="47"/>
        <v>214.53240989639266</v>
      </c>
      <c r="K199" s="220">
        <f t="shared" si="60"/>
        <v>295.66463235000037</v>
      </c>
      <c r="L199" s="221">
        <f t="shared" si="59"/>
        <v>-81.13222245360771</v>
      </c>
      <c r="M199" s="210">
        <f t="shared" si="48"/>
        <v>-2.7356683704480056</v>
      </c>
      <c r="N199" s="211">
        <f t="shared" si="49"/>
        <v>-83.867890824055721</v>
      </c>
      <c r="O199" s="210">
        <v>0</v>
      </c>
      <c r="P199" s="210">
        <v>0</v>
      </c>
      <c r="Q199" s="210">
        <v>0</v>
      </c>
      <c r="R199" s="211">
        <f t="shared" si="50"/>
        <v>-83.867890824055721</v>
      </c>
    </row>
    <row r="200" spans="1:18" x14ac:dyDescent="0.25">
      <c r="A200" s="125">
        <v>1</v>
      </c>
      <c r="B200" s="202">
        <f t="shared" si="45"/>
        <v>43831</v>
      </c>
      <c r="C200" s="223">
        <f t="shared" si="58"/>
        <v>43866</v>
      </c>
      <c r="D200" s="223">
        <f t="shared" si="58"/>
        <v>43885</v>
      </c>
      <c r="E200" s="204" t="s">
        <v>17</v>
      </c>
      <c r="F200" s="125">
        <v>9</v>
      </c>
      <c r="G200" s="205">
        <v>106</v>
      </c>
      <c r="H200" s="206">
        <f t="shared" si="46"/>
        <v>8.6960185985294221</v>
      </c>
      <c r="I200" s="206">
        <f t="shared" si="57"/>
        <v>6.3097767616586076</v>
      </c>
      <c r="J200" s="207">
        <f t="shared" si="47"/>
        <v>668.83633673581244</v>
      </c>
      <c r="K200" s="208">
        <f t="shared" si="60"/>
        <v>921.77797144411875</v>
      </c>
      <c r="L200" s="209">
        <f t="shared" si="59"/>
        <v>-252.94163470830631</v>
      </c>
      <c r="M200" s="210">
        <f t="shared" si="48"/>
        <v>-8.5288484490437817</v>
      </c>
      <c r="N200" s="211">
        <f t="shared" si="49"/>
        <v>-261.47048315735009</v>
      </c>
      <c r="O200" s="210">
        <v>0</v>
      </c>
      <c r="P200" s="210">
        <v>0</v>
      </c>
      <c r="Q200" s="210">
        <v>0</v>
      </c>
      <c r="R200" s="211">
        <f t="shared" si="50"/>
        <v>-261.47048315735009</v>
      </c>
    </row>
    <row r="201" spans="1:18" x14ac:dyDescent="0.25">
      <c r="A201" s="163">
        <v>2</v>
      </c>
      <c r="B201" s="202">
        <f t="shared" si="45"/>
        <v>43862</v>
      </c>
      <c r="C201" s="226">
        <f t="shared" si="58"/>
        <v>43894</v>
      </c>
      <c r="D201" s="226">
        <f t="shared" si="58"/>
        <v>43914</v>
      </c>
      <c r="E201" s="212" t="s">
        <v>17</v>
      </c>
      <c r="F201" s="163">
        <v>9</v>
      </c>
      <c r="G201" s="205">
        <v>103</v>
      </c>
      <c r="H201" s="206">
        <f t="shared" si="46"/>
        <v>8.6960185985294221</v>
      </c>
      <c r="I201" s="206">
        <f t="shared" si="57"/>
        <v>6.3097767616586076</v>
      </c>
      <c r="J201" s="207">
        <f t="shared" si="47"/>
        <v>649.90700645083655</v>
      </c>
      <c r="K201" s="208">
        <f t="shared" si="60"/>
        <v>895.68991564853047</v>
      </c>
      <c r="L201" s="209">
        <f t="shared" si="59"/>
        <v>-245.78290919769393</v>
      </c>
      <c r="M201" s="210">
        <f t="shared" si="48"/>
        <v>-8.2874659457689575</v>
      </c>
      <c r="N201" s="211">
        <f t="shared" si="49"/>
        <v>-254.07037514346288</v>
      </c>
      <c r="O201" s="210">
        <v>0</v>
      </c>
      <c r="P201" s="210">
        <v>0</v>
      </c>
      <c r="Q201" s="210">
        <v>0</v>
      </c>
      <c r="R201" s="211">
        <f t="shared" si="50"/>
        <v>-254.07037514346288</v>
      </c>
    </row>
    <row r="202" spans="1:18" x14ac:dyDescent="0.25">
      <c r="A202" s="163">
        <v>3</v>
      </c>
      <c r="B202" s="202">
        <f t="shared" si="45"/>
        <v>43891</v>
      </c>
      <c r="C202" s="226">
        <f t="shared" si="58"/>
        <v>43924</v>
      </c>
      <c r="D202" s="226">
        <f t="shared" si="58"/>
        <v>43945</v>
      </c>
      <c r="E202" s="212" t="s">
        <v>17</v>
      </c>
      <c r="F202" s="163">
        <v>9</v>
      </c>
      <c r="G202" s="205">
        <v>26</v>
      </c>
      <c r="H202" s="206">
        <f t="shared" si="46"/>
        <v>8.6960185985294221</v>
      </c>
      <c r="I202" s="206">
        <f t="shared" si="57"/>
        <v>6.3097767616586076</v>
      </c>
      <c r="J202" s="207">
        <f t="shared" si="47"/>
        <v>164.0541958031238</v>
      </c>
      <c r="K202" s="208">
        <f t="shared" si="60"/>
        <v>226.09648356176498</v>
      </c>
      <c r="L202" s="209">
        <f>+J202-K202</f>
        <v>-62.04228775864118</v>
      </c>
      <c r="M202" s="210">
        <f t="shared" si="48"/>
        <v>-2.0919816950484749</v>
      </c>
      <c r="N202" s="211">
        <f t="shared" si="49"/>
        <v>-64.134269453689654</v>
      </c>
      <c r="O202" s="210">
        <v>0</v>
      </c>
      <c r="P202" s="210">
        <v>0</v>
      </c>
      <c r="Q202" s="210">
        <v>0</v>
      </c>
      <c r="R202" s="211">
        <f t="shared" si="50"/>
        <v>-64.134269453689654</v>
      </c>
    </row>
    <row r="203" spans="1:18" x14ac:dyDescent="0.25">
      <c r="A203" s="125">
        <v>4</v>
      </c>
      <c r="B203" s="202">
        <f t="shared" si="45"/>
        <v>43922</v>
      </c>
      <c r="C203" s="226">
        <f t="shared" si="58"/>
        <v>43956</v>
      </c>
      <c r="D203" s="226">
        <f t="shared" si="58"/>
        <v>43976</v>
      </c>
      <c r="E203" s="212" t="s">
        <v>17</v>
      </c>
      <c r="F203" s="163">
        <v>9</v>
      </c>
      <c r="G203" s="205">
        <v>97</v>
      </c>
      <c r="H203" s="206">
        <f t="shared" si="46"/>
        <v>8.6960185985294221</v>
      </c>
      <c r="I203" s="206">
        <f t="shared" si="57"/>
        <v>6.3097767616586076</v>
      </c>
      <c r="J203" s="207">
        <f t="shared" si="47"/>
        <v>612.04834588088488</v>
      </c>
      <c r="K203" s="208">
        <f t="shared" si="60"/>
        <v>843.51380405735392</v>
      </c>
      <c r="L203" s="209">
        <f t="shared" ref="L203:L211" si="61">+J203-K203</f>
        <v>-231.46545817646904</v>
      </c>
      <c r="M203" s="210">
        <f t="shared" si="48"/>
        <v>-7.804700939219309</v>
      </c>
      <c r="N203" s="211">
        <f t="shared" si="49"/>
        <v>-239.27015911568836</v>
      </c>
      <c r="O203" s="210">
        <v>0</v>
      </c>
      <c r="P203" s="210">
        <v>0</v>
      </c>
      <c r="Q203" s="210">
        <v>0</v>
      </c>
      <c r="R203" s="211">
        <f t="shared" si="50"/>
        <v>-239.27015911568836</v>
      </c>
    </row>
    <row r="204" spans="1:18" x14ac:dyDescent="0.25">
      <c r="A204" s="163">
        <v>5</v>
      </c>
      <c r="B204" s="202">
        <f t="shared" si="45"/>
        <v>43952</v>
      </c>
      <c r="C204" s="226">
        <f t="shared" si="58"/>
        <v>43985</v>
      </c>
      <c r="D204" s="226">
        <f t="shared" si="58"/>
        <v>44006</v>
      </c>
      <c r="E204" s="54" t="s">
        <v>17</v>
      </c>
      <c r="F204" s="163">
        <v>9</v>
      </c>
      <c r="G204" s="205">
        <v>80</v>
      </c>
      <c r="H204" s="206">
        <f t="shared" si="46"/>
        <v>8.6960185985294221</v>
      </c>
      <c r="I204" s="206">
        <f t="shared" si="57"/>
        <v>6.3097767616586076</v>
      </c>
      <c r="J204" s="207">
        <f t="shared" si="47"/>
        <v>504.78214093268861</v>
      </c>
      <c r="K204" s="208">
        <f t="shared" si="60"/>
        <v>695.68148788235374</v>
      </c>
      <c r="L204" s="209">
        <f t="shared" si="61"/>
        <v>-190.89934694966513</v>
      </c>
      <c r="M204" s="210">
        <f t="shared" si="48"/>
        <v>-6.4368667539953073</v>
      </c>
      <c r="N204" s="211">
        <f t="shared" si="49"/>
        <v>-197.33621370366043</v>
      </c>
      <c r="O204" s="210">
        <v>0</v>
      </c>
      <c r="P204" s="210">
        <v>0</v>
      </c>
      <c r="Q204" s="210">
        <v>0</v>
      </c>
      <c r="R204" s="211">
        <f t="shared" si="50"/>
        <v>-197.33621370366043</v>
      </c>
    </row>
    <row r="205" spans="1:18" x14ac:dyDescent="0.25">
      <c r="A205" s="163">
        <v>6</v>
      </c>
      <c r="B205" s="202">
        <f t="shared" si="45"/>
        <v>43983</v>
      </c>
      <c r="C205" s="226">
        <f t="shared" si="58"/>
        <v>44015</v>
      </c>
      <c r="D205" s="226">
        <f t="shared" si="58"/>
        <v>44036</v>
      </c>
      <c r="E205" s="54" t="s">
        <v>17</v>
      </c>
      <c r="F205" s="163">
        <v>9</v>
      </c>
      <c r="G205" s="205">
        <v>99</v>
      </c>
      <c r="H205" s="206">
        <f t="shared" si="46"/>
        <v>8.6960185985294221</v>
      </c>
      <c r="I205" s="206">
        <f t="shared" si="57"/>
        <v>6.3097767616586076</v>
      </c>
      <c r="J205" s="207">
        <f t="shared" si="47"/>
        <v>624.6678994042021</v>
      </c>
      <c r="K205" s="208">
        <f t="shared" si="60"/>
        <v>860.90584125441273</v>
      </c>
      <c r="L205" s="213">
        <f t="shared" si="61"/>
        <v>-236.23794185021063</v>
      </c>
      <c r="M205" s="210">
        <f t="shared" si="48"/>
        <v>-7.9656226080691921</v>
      </c>
      <c r="N205" s="211">
        <f t="shared" si="49"/>
        <v>-244.20356445827983</v>
      </c>
      <c r="O205" s="210">
        <v>0</v>
      </c>
      <c r="P205" s="210">
        <v>0</v>
      </c>
      <c r="Q205" s="210">
        <v>0</v>
      </c>
      <c r="R205" s="211">
        <f t="shared" si="50"/>
        <v>-244.20356445827983</v>
      </c>
    </row>
    <row r="206" spans="1:18" x14ac:dyDescent="0.25">
      <c r="A206" s="125">
        <v>7</v>
      </c>
      <c r="B206" s="202">
        <f t="shared" si="45"/>
        <v>44013</v>
      </c>
      <c r="C206" s="226">
        <f t="shared" si="58"/>
        <v>44048</v>
      </c>
      <c r="D206" s="226">
        <f t="shared" si="58"/>
        <v>44067</v>
      </c>
      <c r="E206" s="54" t="s">
        <v>17</v>
      </c>
      <c r="F206" s="163">
        <v>9</v>
      </c>
      <c r="G206" s="205">
        <v>111</v>
      </c>
      <c r="H206" s="206">
        <f t="shared" si="46"/>
        <v>8.6960185985294221</v>
      </c>
      <c r="I206" s="206">
        <f t="shared" si="57"/>
        <v>6.3097767616586076</v>
      </c>
      <c r="J206" s="207">
        <f t="shared" si="47"/>
        <v>700.38522054410544</v>
      </c>
      <c r="K206" s="214">
        <f t="shared" si="60"/>
        <v>965.25806443676584</v>
      </c>
      <c r="L206" s="213">
        <f t="shared" si="61"/>
        <v>-264.8728438926604</v>
      </c>
      <c r="M206" s="210">
        <f t="shared" si="48"/>
        <v>-8.9311526211684882</v>
      </c>
      <c r="N206" s="211">
        <f t="shared" si="49"/>
        <v>-273.80399651382891</v>
      </c>
      <c r="O206" s="210">
        <v>0</v>
      </c>
      <c r="P206" s="210">
        <v>0</v>
      </c>
      <c r="Q206" s="210">
        <v>0</v>
      </c>
      <c r="R206" s="211">
        <f t="shared" si="50"/>
        <v>-273.80399651382891</v>
      </c>
    </row>
    <row r="207" spans="1:18" x14ac:dyDescent="0.25">
      <c r="A207" s="163">
        <v>8</v>
      </c>
      <c r="B207" s="202">
        <f t="shared" si="45"/>
        <v>44044</v>
      </c>
      <c r="C207" s="226">
        <f t="shared" si="58"/>
        <v>44077</v>
      </c>
      <c r="D207" s="226">
        <f t="shared" si="58"/>
        <v>44098</v>
      </c>
      <c r="E207" s="54" t="s">
        <v>17</v>
      </c>
      <c r="F207" s="163">
        <v>9</v>
      </c>
      <c r="G207" s="205">
        <v>112</v>
      </c>
      <c r="H207" s="206">
        <f t="shared" si="46"/>
        <v>8.6960185985294221</v>
      </c>
      <c r="I207" s="206">
        <f t="shared" si="57"/>
        <v>6.3097767616586076</v>
      </c>
      <c r="J207" s="207">
        <f t="shared" si="47"/>
        <v>706.69499730576399</v>
      </c>
      <c r="K207" s="214">
        <f t="shared" si="60"/>
        <v>973.9540830352953</v>
      </c>
      <c r="L207" s="213">
        <f t="shared" si="61"/>
        <v>-267.25908572953131</v>
      </c>
      <c r="M207" s="210">
        <f t="shared" si="48"/>
        <v>-9.0116134555934302</v>
      </c>
      <c r="N207" s="211">
        <f t="shared" si="49"/>
        <v>-276.27069918512473</v>
      </c>
      <c r="O207" s="210">
        <v>0</v>
      </c>
      <c r="P207" s="210">
        <v>0</v>
      </c>
      <c r="Q207" s="210">
        <v>0</v>
      </c>
      <c r="R207" s="211">
        <f t="shared" si="50"/>
        <v>-276.27069918512473</v>
      </c>
    </row>
    <row r="208" spans="1:18" x14ac:dyDescent="0.25">
      <c r="A208" s="163">
        <v>9</v>
      </c>
      <c r="B208" s="202">
        <f t="shared" si="45"/>
        <v>44075</v>
      </c>
      <c r="C208" s="226">
        <f t="shared" si="58"/>
        <v>44109</v>
      </c>
      <c r="D208" s="226">
        <f t="shared" si="58"/>
        <v>44130</v>
      </c>
      <c r="E208" s="54" t="s">
        <v>17</v>
      </c>
      <c r="F208" s="163">
        <v>9</v>
      </c>
      <c r="G208" s="205">
        <v>114</v>
      </c>
      <c r="H208" s="206">
        <f t="shared" si="46"/>
        <v>8.6960185985294221</v>
      </c>
      <c r="I208" s="206">
        <f t="shared" si="57"/>
        <v>6.3097767616586076</v>
      </c>
      <c r="J208" s="207">
        <f t="shared" si="47"/>
        <v>719.31455082908121</v>
      </c>
      <c r="K208" s="214">
        <f t="shared" si="60"/>
        <v>991.34612023235411</v>
      </c>
      <c r="L208" s="213">
        <f t="shared" si="61"/>
        <v>-272.0315694032729</v>
      </c>
      <c r="M208" s="210">
        <f t="shared" si="48"/>
        <v>-9.1725351244433124</v>
      </c>
      <c r="N208" s="211">
        <f t="shared" si="49"/>
        <v>-281.2041045277162</v>
      </c>
      <c r="O208" s="210">
        <v>0</v>
      </c>
      <c r="P208" s="210">
        <v>0</v>
      </c>
      <c r="Q208" s="210">
        <v>0</v>
      </c>
      <c r="R208" s="211">
        <f t="shared" si="50"/>
        <v>-281.2041045277162</v>
      </c>
    </row>
    <row r="209" spans="1:18" x14ac:dyDescent="0.25">
      <c r="A209" s="125">
        <v>10</v>
      </c>
      <c r="B209" s="202">
        <f t="shared" si="45"/>
        <v>44105</v>
      </c>
      <c r="C209" s="226">
        <f t="shared" si="58"/>
        <v>44139</v>
      </c>
      <c r="D209" s="226">
        <f t="shared" si="58"/>
        <v>44159</v>
      </c>
      <c r="E209" s="54" t="s">
        <v>17</v>
      </c>
      <c r="F209" s="163">
        <v>9</v>
      </c>
      <c r="G209" s="205">
        <v>96</v>
      </c>
      <c r="H209" s="206">
        <f t="shared" si="46"/>
        <v>8.6960185985294221</v>
      </c>
      <c r="I209" s="206">
        <f t="shared" si="57"/>
        <v>6.3097767616586076</v>
      </c>
      <c r="J209" s="207">
        <f t="shared" si="47"/>
        <v>605.73856911922633</v>
      </c>
      <c r="K209" s="214">
        <f t="shared" si="60"/>
        <v>834.81778545882457</v>
      </c>
      <c r="L209" s="213">
        <f t="shared" si="61"/>
        <v>-229.07921633959825</v>
      </c>
      <c r="M209" s="210">
        <f t="shared" si="48"/>
        <v>-7.7242401047943678</v>
      </c>
      <c r="N209" s="211">
        <f t="shared" si="49"/>
        <v>-236.80345644439262</v>
      </c>
      <c r="O209" s="210">
        <v>0</v>
      </c>
      <c r="P209" s="210">
        <v>0</v>
      </c>
      <c r="Q209" s="210">
        <v>0</v>
      </c>
      <c r="R209" s="211">
        <f t="shared" si="50"/>
        <v>-236.80345644439262</v>
      </c>
    </row>
    <row r="210" spans="1:18" x14ac:dyDescent="0.25">
      <c r="A210" s="163">
        <v>11</v>
      </c>
      <c r="B210" s="202">
        <f t="shared" si="45"/>
        <v>44136</v>
      </c>
      <c r="C210" s="226">
        <f t="shared" si="58"/>
        <v>44168</v>
      </c>
      <c r="D210" s="226">
        <f t="shared" si="58"/>
        <v>44189</v>
      </c>
      <c r="E210" s="54" t="s">
        <v>17</v>
      </c>
      <c r="F210" s="163">
        <v>9</v>
      </c>
      <c r="G210" s="205">
        <v>100</v>
      </c>
      <c r="H210" s="206">
        <f t="shared" si="46"/>
        <v>8.6960185985294221</v>
      </c>
      <c r="I210" s="206">
        <f t="shared" si="57"/>
        <v>6.3097767616586076</v>
      </c>
      <c r="J210" s="207">
        <f t="shared" si="47"/>
        <v>630.97767616586077</v>
      </c>
      <c r="K210" s="214">
        <f>+$G210*H210</f>
        <v>869.6018598529422</v>
      </c>
      <c r="L210" s="213">
        <f t="shared" si="61"/>
        <v>-238.62418368708143</v>
      </c>
      <c r="M210" s="210">
        <f t="shared" si="48"/>
        <v>-8.0460834424941332</v>
      </c>
      <c r="N210" s="211">
        <f t="shared" si="49"/>
        <v>-246.67026712957556</v>
      </c>
      <c r="O210" s="210">
        <v>0</v>
      </c>
      <c r="P210" s="210">
        <v>0</v>
      </c>
      <c r="Q210" s="210">
        <v>0</v>
      </c>
      <c r="R210" s="211">
        <f t="shared" si="50"/>
        <v>-246.67026712957556</v>
      </c>
    </row>
    <row r="211" spans="1:18" s="230" customFormat="1" x14ac:dyDescent="0.25">
      <c r="A211" s="163">
        <v>12</v>
      </c>
      <c r="B211" s="228">
        <f t="shared" si="45"/>
        <v>44166</v>
      </c>
      <c r="C211" s="231">
        <f t="shared" si="58"/>
        <v>44202</v>
      </c>
      <c r="D211" s="231">
        <f t="shared" si="58"/>
        <v>44221</v>
      </c>
      <c r="E211" s="229" t="s">
        <v>17</v>
      </c>
      <c r="F211" s="174">
        <v>9</v>
      </c>
      <c r="G211" s="217">
        <v>105</v>
      </c>
      <c r="H211" s="218">
        <f t="shared" si="46"/>
        <v>8.6960185985294221</v>
      </c>
      <c r="I211" s="218">
        <f t="shared" si="57"/>
        <v>6.3097767616586076</v>
      </c>
      <c r="J211" s="219">
        <f t="shared" si="47"/>
        <v>662.52655997415377</v>
      </c>
      <c r="K211" s="220">
        <f>+$G211*H211</f>
        <v>913.08195284558929</v>
      </c>
      <c r="L211" s="221">
        <f t="shared" si="61"/>
        <v>-250.55539287143552</v>
      </c>
      <c r="M211" s="219">
        <f t="shared" si="48"/>
        <v>-8.4483876146188415</v>
      </c>
      <c r="N211" s="211">
        <f t="shared" si="49"/>
        <v>-259.00378048605438</v>
      </c>
      <c r="O211" s="210">
        <v>0</v>
      </c>
      <c r="P211" s="210">
        <v>0</v>
      </c>
      <c r="Q211" s="210">
        <v>0</v>
      </c>
      <c r="R211" s="211">
        <f t="shared" si="50"/>
        <v>-259.00378048605438</v>
      </c>
    </row>
    <row r="212" spans="1:18" x14ac:dyDescent="0.25">
      <c r="G212" s="236">
        <f>SUM(G20:G211)</f>
        <v>94887</v>
      </c>
      <c r="H212" s="51"/>
      <c r="I212" s="51"/>
      <c r="J212" s="51">
        <f>SUM(J20:J211)</f>
        <v>598715.78758350061</v>
      </c>
      <c r="K212" s="51">
        <f>SUM(K20:K211)</f>
        <v>825139.116758661</v>
      </c>
      <c r="L212" s="51">
        <f>SUM(L20:L211)</f>
        <v>-226423.32917516114</v>
      </c>
      <c r="M212" s="51">
        <f>SUM(M20:M211)</f>
        <v>-7634.6871960794106</v>
      </c>
      <c r="N212" s="51"/>
      <c r="O212" s="51"/>
      <c r="P212" s="51">
        <f>SUM(P20:P211)</f>
        <v>0</v>
      </c>
      <c r="Q212" s="51"/>
      <c r="R212" s="237">
        <f>SUM(R20:R211)</f>
        <v>-234058.01637124032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AEAFE636-79C9-44FC-9B38-81C4DD9B97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2021-05-24T21:30:24Z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cfa33df9-0e91-4da4-976b-7a0481d29165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